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5375" windowHeight="4935" activeTab="2"/>
  </bookViews>
  <sheets>
    <sheet name="CoverSheet" sheetId="1" r:id="rId1"/>
    <sheet name="Reality check" sheetId="5" state="hidden" r:id="rId2"/>
    <sheet name="Inputs" sheetId="2" r:id="rId3"/>
    <sheet name="Calculations" sheetId="4" r:id="rId4"/>
    <sheet name="Metrics" sheetId="10" r:id="rId5"/>
    <sheet name="Lists" sheetId="9" r:id="rId6"/>
  </sheets>
  <definedNames>
    <definedName name="CashflowClosingBalanceca">Calculations!$F$37:$Q$37</definedName>
    <definedName name="CashflowCostsCa">Calculations!$F$8:$Q$8</definedName>
    <definedName name="CashflowCustomersCa">Calculations!$F$6:$Q$6</definedName>
    <definedName name="CashflowDepositInterestCa">Calculations!$F$34:$Q$34</definedName>
    <definedName name="CashflowDepositRateIn">Inputs!$E$30</definedName>
    <definedName name="CashflowLoanRateIn">Inputs!$E$31</definedName>
    <definedName name="CashflowMoneyInOutCa">Calculations!$F$36:$Q$36</definedName>
    <definedName name="CashflowNetCa">Calculations!$F$9:$Q$9</definedName>
    <definedName name="CashflowOpeningBalanceCa">Calculations!$F$33:$Q$33</definedName>
    <definedName name="CashflowOpeningBalanceIn">Inputs!$E$29</definedName>
    <definedName name="CashflowRevenueCa">Calculations!$F$7:$Q$7</definedName>
    <definedName name="CostsLabourIn">Inputs!$F$7:$Q$7</definedName>
    <definedName name="CostsOverheadsIn">Inputs!$F$8:$Q$8</definedName>
    <definedName name="CostsRawMaterialsIn">Inputs!$F$6:$Q$6</definedName>
    <definedName name="CoverStartDate">CoverSheet!$C$4</definedName>
    <definedName name="CoverStatus">CoverSheet!$C$8</definedName>
    <definedName name="CoverTitle">CoverSheet!$C$2</definedName>
    <definedName name="CoverVersionNumber">CoverSheet!$C$6</definedName>
    <definedName name="EndDate">Calculations!$F$3:$Q$3</definedName>
    <definedName name="EndDateIn">Inputs!$F$3:$Q$3</definedName>
    <definedName name="IncentiveActualCostCa">Calculations!$F$30:$Q$30</definedName>
    <definedName name="IncentiveCostIn">Inputs!$E$26</definedName>
    <definedName name="IncentiveMonth?Ca">Calculations!$F$29:$Q$29</definedName>
    <definedName name="IncentiveMonth1In">Inputs!$E$24</definedName>
    <definedName name="IncentiveMonth1PositionCa">Calculations!$E$27</definedName>
    <definedName name="IncentiveMonth2In">Inputs!$E$25</definedName>
    <definedName name="IncentiveMonth2PositionCa">Calculations!$E$28</definedName>
    <definedName name="InterestMonthlyDepositRateCa">Calculations!$E$41</definedName>
    <definedName name="InterestMonthlyLoanRateCa">Calculations!$E$44</definedName>
    <definedName name="InterestNegativeBalanceCa">Calculations!$F$43:$Q$43</definedName>
    <definedName name="InterestPositiveBalanceCa">Calculations!$F$40:$Q$40</definedName>
    <definedName name="List2">#REF!</definedName>
    <definedName name="ListOfNumbers">#REF!</definedName>
    <definedName name="lstActualLineItems">Calculations!$B$6:$B$30</definedName>
    <definedName name="lstCustomerNumbers">Lists!$A$2:$A$11</definedName>
    <definedName name="lstLineItems">Lists!$L$2:$L$15</definedName>
    <definedName name="lstMonths">Lists!$E$2:$E$13</definedName>
    <definedName name="lstNonContig">Calculations!$B$6:$B$9,Calculations!$B$12:$B$15,Calculations!$B$18:$B$19,Calculations!$B$21:$B$24</definedName>
    <definedName name="MetricLineItem">Metrics!$D$2</definedName>
    <definedName name="MetricLineItemPosition">Metrics!$D$5</definedName>
    <definedName name="MetricMonth">Metrics!$D$3</definedName>
    <definedName name="MetricMonthPosition">Metrics!$D$6</definedName>
    <definedName name="Period">Calculations!$F$1:$Q$1</definedName>
    <definedName name="PeriodIn">Inputs!$F$1:$Q$1</definedName>
    <definedName name="PromotionBOGOFActualCustomersCa">Calculations!$F$24:$Q$24</definedName>
    <definedName name="PromotionBOGOFCustomersIn">Inputs!$E$21</definedName>
    <definedName name="PromotionBOGOFEndMonthIn">Inputs!$E$20</definedName>
    <definedName name="PromotionBOGOFEndMonthPositionCa">Calculations!$E$22</definedName>
    <definedName name="PromotionBOGOFMonth?Ca">Calculations!$F$23:$Q$23</definedName>
    <definedName name="PromotionBOGOFStartMonthIn">Inputs!$E$19</definedName>
    <definedName name="PromotionBOGOFStartMonthPositionCa">Calculations!$E$21</definedName>
    <definedName name="PromotionGoldenTicketCustomersIn">Inputs!$E$17</definedName>
    <definedName name="PromotionGoldenTicketMonthIn">Inputs!$E$16</definedName>
    <definedName name="PromotionGTActualCustomersCa">Calculations!$F$19:$Q$19</definedName>
    <definedName name="PromotionGTMonth?Ca">Calculations!$F$18:$Q$18</definedName>
    <definedName name="RevenueCustomerMultiplierIn">Inputs!$F$13:$Q$13</definedName>
    <definedName name="RevenueCustomerSpendIn">Inputs!$E$12</definedName>
    <definedName name="RevenueInitialCustomersIn">Inputs!$E$11</definedName>
    <definedName name="rngStartOfCalcs">Calculations!$E$5</definedName>
    <definedName name="SeasonModifiedCustomersCa">Calculations!$F$14:$Q$14</definedName>
    <definedName name="SeasonMonthNameCa">Calculations!$F$13:$Q$13</definedName>
    <definedName name="SeasonMonthNumberCa">Calculations!$F$12:$Q$12</definedName>
    <definedName name="SeasonNumberOfStaffCa">Calculations!$F$15:$Q$15</definedName>
    <definedName name="StartDate">Calculations!$F$2:$Q$2</definedName>
    <definedName name="StartDateIn">Inputs!$F$2:$Q$2</definedName>
    <definedName name="tblAllCalcs">Calculations!$F$6:$Q$30</definedName>
    <definedName name="tblMonths">Lists!$D$2:$F$13</definedName>
    <definedName name="tblStaff">Lists!$I$2:$J$7</definedName>
  </definedNames>
  <calcPr calcId="145621" iterateDelta="9.9999999999999995E-7"/>
</workbook>
</file>

<file path=xl/calcChain.xml><?xml version="1.0" encoding="utf-8"?>
<calcChain xmlns="http://schemas.openxmlformats.org/spreadsheetml/2006/main">
  <c r="F35" i="4" l="1"/>
  <c r="E44" i="4"/>
  <c r="F43" i="4"/>
  <c r="F34" i="4"/>
  <c r="E41" i="4"/>
  <c r="F40" i="4"/>
  <c r="G36" i="4"/>
  <c r="H36" i="4"/>
  <c r="I36" i="4"/>
  <c r="J36" i="4"/>
  <c r="K36" i="4"/>
  <c r="L36" i="4"/>
  <c r="M36" i="4"/>
  <c r="N36" i="4"/>
  <c r="O36" i="4"/>
  <c r="P36" i="4"/>
  <c r="Q36" i="4"/>
  <c r="F33" i="4"/>
  <c r="E37" i="4"/>
  <c r="D5" i="10"/>
  <c r="G6" i="4" l="1"/>
  <c r="G7" i="4" s="1"/>
  <c r="G9" i="4" s="1"/>
  <c r="H6" i="4"/>
  <c r="H7" i="4" s="1"/>
  <c r="H9" i="4" s="1"/>
  <c r="I6" i="4"/>
  <c r="I7" i="4" s="1"/>
  <c r="J6" i="4"/>
  <c r="J7" i="4" s="1"/>
  <c r="J9" i="4" s="1"/>
  <c r="K6" i="4"/>
  <c r="K7" i="4" s="1"/>
  <c r="K9" i="4" s="1"/>
  <c r="L6" i="4"/>
  <c r="L7" i="4" s="1"/>
  <c r="L9" i="4" s="1"/>
  <c r="M6" i="4"/>
  <c r="M7" i="4" s="1"/>
  <c r="M9" i="4" s="1"/>
  <c r="N6" i="4"/>
  <c r="N7" i="4" s="1"/>
  <c r="N9" i="4" s="1"/>
  <c r="O6" i="4"/>
  <c r="O7" i="4" s="1"/>
  <c r="O9" i="4" s="1"/>
  <c r="P6" i="4"/>
  <c r="P7" i="4" s="1"/>
  <c r="P9" i="4" s="1"/>
  <c r="Q6" i="4"/>
  <c r="Q7" i="4" s="1"/>
  <c r="F6" i="4"/>
  <c r="F7" i="4" s="1"/>
  <c r="G8" i="4"/>
  <c r="H8" i="4"/>
  <c r="I8" i="4"/>
  <c r="J8" i="4"/>
  <c r="K8" i="4"/>
  <c r="L8" i="4"/>
  <c r="M8" i="4"/>
  <c r="N8" i="4"/>
  <c r="O8" i="4"/>
  <c r="P8" i="4"/>
  <c r="Q8" i="4"/>
  <c r="F8" i="4"/>
  <c r="C9" i="5"/>
  <c r="C2" i="5"/>
  <c r="A1" i="4"/>
  <c r="F9" i="4" l="1"/>
  <c r="F36" i="4" s="1"/>
  <c r="F37" i="4" s="1"/>
  <c r="G33" i="4" s="1"/>
  <c r="G43" i="4" s="1"/>
  <c r="G35" i="4" s="1"/>
  <c r="I9" i="4"/>
  <c r="Q9" i="4"/>
  <c r="A1" i="2"/>
  <c r="C4" i="1"/>
  <c r="G40" i="4" l="1"/>
  <c r="G34" i="4" s="1"/>
  <c r="G37" i="4" s="1"/>
  <c r="H33" i="4" s="1"/>
  <c r="H43" i="4" s="1"/>
  <c r="H35" i="4" s="1"/>
  <c r="H40" i="4"/>
  <c r="H34" i="4" s="1"/>
  <c r="H37" i="4" s="1"/>
  <c r="I33" i="4" s="1"/>
  <c r="F2" i="2"/>
  <c r="F3" i="2"/>
  <c r="I43" i="4" l="1"/>
  <c r="I35" i="4" s="1"/>
  <c r="I40" i="4"/>
  <c r="I34" i="4" s="1"/>
  <c r="G2" i="2"/>
  <c r="I37" i="4" l="1"/>
  <c r="J33" i="4" s="1"/>
  <c r="J43" i="4" s="1"/>
  <c r="J35" i="4" s="1"/>
  <c r="G3" i="2"/>
  <c r="J40" i="4" l="1"/>
  <c r="J34" i="4" s="1"/>
  <c r="J37" i="4" s="1"/>
  <c r="K33" i="4" s="1"/>
  <c r="H2" i="2"/>
  <c r="K43" i="4" l="1"/>
  <c r="K35" i="4" s="1"/>
  <c r="K40" i="4"/>
  <c r="K34" i="4" s="1"/>
  <c r="K37" i="4"/>
  <c r="L33" i="4" s="1"/>
  <c r="H3" i="2"/>
  <c r="L43" i="4" l="1"/>
  <c r="L35" i="4" s="1"/>
  <c r="L40" i="4"/>
  <c r="L34" i="4" s="1"/>
  <c r="I2" i="2"/>
  <c r="L37" i="4" l="1"/>
  <c r="M33" i="4" s="1"/>
  <c r="M43" i="4" s="1"/>
  <c r="M35" i="4" s="1"/>
  <c r="I3" i="2"/>
  <c r="M40" i="4" l="1"/>
  <c r="M34" i="4" s="1"/>
  <c r="M37" i="4" s="1"/>
  <c r="N33" i="4" s="1"/>
  <c r="J2" i="2"/>
  <c r="N40" i="4" l="1"/>
  <c r="N34" i="4" s="1"/>
  <c r="N43" i="4"/>
  <c r="N35" i="4" s="1"/>
  <c r="N37" i="4"/>
  <c r="O33" i="4" s="1"/>
  <c r="O43" i="4" s="1"/>
  <c r="O35" i="4" s="1"/>
  <c r="J3" i="2"/>
  <c r="O40" i="4" l="1"/>
  <c r="O34" i="4" s="1"/>
  <c r="O37" i="4" s="1"/>
  <c r="P33" i="4" s="1"/>
  <c r="K2" i="2"/>
  <c r="P43" i="4" l="1"/>
  <c r="P35" i="4" s="1"/>
  <c r="P40" i="4"/>
  <c r="P34" i="4" s="1"/>
  <c r="K3" i="2"/>
  <c r="P37" i="4" l="1"/>
  <c r="Q33" i="4" s="1"/>
  <c r="L2" i="2"/>
  <c r="Q43" i="4" l="1"/>
  <c r="Q35" i="4" s="1"/>
  <c r="Q37" i="4" s="1"/>
  <c r="Q40" i="4"/>
  <c r="Q34" i="4" s="1"/>
  <c r="L3" i="2"/>
  <c r="M2" i="2" l="1"/>
  <c r="M3" i="2" l="1"/>
  <c r="N2" i="2" l="1"/>
  <c r="N3" i="2" l="1"/>
  <c r="O2" i="2" l="1"/>
  <c r="O3" i="2" l="1"/>
  <c r="P2" i="2" l="1"/>
  <c r="P3" i="2" l="1"/>
  <c r="Q2" i="2" l="1"/>
  <c r="Q3" i="2" l="1"/>
  <c r="Q3" i="4" s="1"/>
  <c r="F1" i="4"/>
  <c r="H2" i="4"/>
  <c r="H12" i="4" s="1"/>
  <c r="J3" i="4"/>
  <c r="J1" i="4"/>
  <c r="K2" i="4"/>
  <c r="K12" i="4" s="1"/>
  <c r="O3" i="4"/>
  <c r="Q1" i="4"/>
  <c r="O2" i="4"/>
  <c r="O12" i="4" s="1"/>
  <c r="F3" i="4"/>
  <c r="I3" i="4"/>
  <c r="M1" i="4"/>
  <c r="P3" i="4"/>
  <c r="F2" i="4"/>
  <c r="F12" i="4" s="1"/>
  <c r="F14" i="4" s="1"/>
  <c r="O1" i="4"/>
  <c r="G2" i="4"/>
  <c r="G12" i="4" s="1"/>
  <c r="I2" i="4"/>
  <c r="I12" i="4" s="1"/>
  <c r="L2" i="4"/>
  <c r="L12" i="4" s="1"/>
  <c r="H3" i="4"/>
  <c r="I1" i="4"/>
  <c r="M3" i="4"/>
  <c r="N1" i="4"/>
  <c r="Q2" i="4"/>
  <c r="Q12" i="4" s="1"/>
  <c r="N3" i="4"/>
  <c r="G1" i="4"/>
  <c r="L3" i="4"/>
  <c r="M2" i="4"/>
  <c r="M12" i="4" s="1"/>
  <c r="H1" i="4"/>
  <c r="J2" i="4"/>
  <c r="J12" i="4" s="1"/>
  <c r="G3" i="4"/>
  <c r="P1" i="4"/>
  <c r="K3" i="4"/>
  <c r="L1" i="4"/>
  <c r="N2" i="4"/>
  <c r="N12" i="4" s="1"/>
  <c r="P2" i="4"/>
  <c r="P12" i="4" s="1"/>
  <c r="K1" i="4"/>
  <c r="F15" i="4" l="1"/>
  <c r="P13" i="4"/>
  <c r="P18" i="4" s="1"/>
  <c r="P19" i="4" s="1"/>
  <c r="P14" i="4"/>
  <c r="P15" i="4" s="1"/>
  <c r="M13" i="4"/>
  <c r="M18" i="4" s="1"/>
  <c r="M19" i="4" s="1"/>
  <c r="M14" i="4"/>
  <c r="M15" i="4" s="1"/>
  <c r="N13" i="4"/>
  <c r="N18" i="4" s="1"/>
  <c r="N19" i="4" s="1"/>
  <c r="N14" i="4"/>
  <c r="N15" i="4" s="1"/>
  <c r="L13" i="4"/>
  <c r="L18" i="4" s="1"/>
  <c r="L19" i="4" s="1"/>
  <c r="L14" i="4"/>
  <c r="L15" i="4" s="1"/>
  <c r="G13" i="4"/>
  <c r="G18" i="4" s="1"/>
  <c r="G19" i="4" s="1"/>
  <c r="G14" i="4"/>
  <c r="K13" i="4"/>
  <c r="K18" i="4" s="1"/>
  <c r="K19" i="4" s="1"/>
  <c r="K14" i="4"/>
  <c r="K15" i="4" s="1"/>
  <c r="J13" i="4"/>
  <c r="J18" i="4" s="1"/>
  <c r="J19" i="4" s="1"/>
  <c r="J14" i="4"/>
  <c r="Q13" i="4"/>
  <c r="Q18" i="4" s="1"/>
  <c r="Q19" i="4" s="1"/>
  <c r="Q14" i="4"/>
  <c r="Q15" i="4" s="1"/>
  <c r="I13" i="4"/>
  <c r="I18" i="4" s="1"/>
  <c r="I19" i="4" s="1"/>
  <c r="I14" i="4"/>
  <c r="O13" i="4"/>
  <c r="O18" i="4" s="1"/>
  <c r="O19" i="4" s="1"/>
  <c r="O14" i="4"/>
  <c r="O15" i="4" s="1"/>
  <c r="H13" i="4"/>
  <c r="H18" i="4" s="1"/>
  <c r="H19" i="4" s="1"/>
  <c r="H14" i="4"/>
  <c r="F13" i="4"/>
  <c r="E28" i="4" l="1"/>
  <c r="D6" i="10"/>
  <c r="E22" i="4"/>
  <c r="E27" i="4"/>
  <c r="F18" i="4"/>
  <c r="F19" i="4" s="1"/>
  <c r="E21" i="4"/>
  <c r="I15" i="4"/>
  <c r="J15" i="4"/>
  <c r="H15" i="4"/>
  <c r="G15" i="4"/>
  <c r="D9" i="10" l="1"/>
  <c r="D12" i="10"/>
  <c r="D8" i="10"/>
  <c r="F29" i="4"/>
  <c r="F30" i="4" s="1"/>
  <c r="O29" i="4"/>
  <c r="O30" i="4" s="1"/>
  <c r="H29" i="4"/>
  <c r="H30" i="4" s="1"/>
  <c r="J29" i="4"/>
  <c r="J30" i="4" s="1"/>
  <c r="L29" i="4"/>
  <c r="L30" i="4" s="1"/>
  <c r="N29" i="4"/>
  <c r="N30" i="4" s="1"/>
  <c r="P29" i="4"/>
  <c r="P30" i="4" s="1"/>
  <c r="G29" i="4"/>
  <c r="G30" i="4" s="1"/>
  <c r="I29" i="4"/>
  <c r="I30" i="4" s="1"/>
  <c r="K29" i="4"/>
  <c r="K30" i="4" s="1"/>
  <c r="M29" i="4"/>
  <c r="M30" i="4" s="1"/>
  <c r="Q29" i="4"/>
  <c r="Q30" i="4" s="1"/>
  <c r="F23" i="4"/>
  <c r="F24" i="4" s="1"/>
  <c r="M23" i="4"/>
  <c r="M24" i="4" s="1"/>
  <c r="H23" i="4"/>
  <c r="H24" i="4" s="1"/>
  <c r="J23" i="4"/>
  <c r="J24" i="4" s="1"/>
  <c r="L23" i="4"/>
  <c r="L24" i="4" s="1"/>
  <c r="N23" i="4"/>
  <c r="N24" i="4" s="1"/>
  <c r="P23" i="4"/>
  <c r="P24" i="4" s="1"/>
  <c r="G23" i="4"/>
  <c r="G24" i="4" s="1"/>
  <c r="I23" i="4"/>
  <c r="I24" i="4" s="1"/>
  <c r="K23" i="4"/>
  <c r="K24" i="4" s="1"/>
  <c r="O23" i="4"/>
  <c r="O24" i="4" s="1"/>
  <c r="Q23" i="4"/>
  <c r="Q24" i="4" s="1"/>
</calcChain>
</file>

<file path=xl/sharedStrings.xml><?xml version="1.0" encoding="utf-8"?>
<sst xmlns="http://schemas.openxmlformats.org/spreadsheetml/2006/main" count="232" uniqueCount="154">
  <si>
    <t>The Chocolate Emporium</t>
  </si>
  <si>
    <t>Title of model</t>
  </si>
  <si>
    <t>Start date for model</t>
  </si>
  <si>
    <t>Version number</t>
  </si>
  <si>
    <t>Status</t>
  </si>
  <si>
    <t>(Very) untested</t>
  </si>
  <si>
    <t>CoverTitle</t>
  </si>
  <si>
    <t>CoverStartDate</t>
  </si>
  <si>
    <t>CoverVersionNumber</t>
  </si>
  <si>
    <t>CoverStatus</t>
  </si>
  <si>
    <t>Costs</t>
  </si>
  <si>
    <t>Raw materials</t>
  </si>
  <si>
    <t>Labour</t>
  </si>
  <si>
    <t>Overheads</t>
  </si>
  <si>
    <t>Units</t>
  </si>
  <si>
    <t>Section</t>
  </si>
  <si>
    <t>Input row title</t>
  </si>
  <si>
    <t>Period</t>
  </si>
  <si>
    <t>Period ==&gt;</t>
  </si>
  <si>
    <t>End date ==&gt;</t>
  </si>
  <si>
    <t>Start date ==&gt;</t>
  </si>
  <si>
    <t>StartDateIn</t>
  </si>
  <si>
    <t>PeriodIn</t>
  </si>
  <si>
    <t>EndDateIn</t>
  </si>
  <si>
    <t>StartDate</t>
  </si>
  <si>
    <t>EndDate</t>
  </si>
  <si>
    <t>Cashflow</t>
  </si>
  <si>
    <t>Revenue</t>
  </si>
  <si>
    <t>Net</t>
  </si>
  <si>
    <t>Today is</t>
  </si>
  <si>
    <t>Chance of tornado</t>
  </si>
  <si>
    <t>Value of pi</t>
  </si>
  <si>
    <t>Money in pocket</t>
  </si>
  <si>
    <t>Money owed to friend</t>
  </si>
  <si>
    <t>Savings</t>
  </si>
  <si>
    <t>Net assets</t>
  </si>
  <si>
    <t>£</t>
  </si>
  <si>
    <t>CostsRawMaterialsIn</t>
  </si>
  <si>
    <t>CostsLabourIn</t>
  </si>
  <si>
    <t>CostsOverheadsIn</t>
  </si>
  <si>
    <t>CashflowCostsCa</t>
  </si>
  <si>
    <t>Initial customers</t>
  </si>
  <si>
    <t>None</t>
  </si>
  <si>
    <t>RevenueInitialCustomersIn</t>
  </si>
  <si>
    <t>Customer spend</t>
  </si>
  <si>
    <t>RevenueCustomerSpendIn</t>
  </si>
  <si>
    <t>Customer multiplier</t>
  </si>
  <si>
    <t>%</t>
  </si>
  <si>
    <t>RevenueCustomerMultiplierIn</t>
  </si>
  <si>
    <t>Customers</t>
  </si>
  <si>
    <t>CashflowCustomersCa</t>
  </si>
  <si>
    <t>CashflowRevenueCa</t>
  </si>
  <si>
    <t>CashflowNetCa</t>
  </si>
  <si>
    <t>lstCustomerNumbers</t>
  </si>
  <si>
    <t>Season</t>
  </si>
  <si>
    <t>Month number</t>
  </si>
  <si>
    <t>SeasonMonthNumberCa</t>
  </si>
  <si>
    <t>tblMonths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</si>
  <si>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</si>
  <si>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</si>
  <si>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</si>
  <si>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</si>
  <si>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</si>
  <si>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</si>
  <si>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</si>
  <si>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</si>
  <si>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</si>
  <si>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</si>
  <si>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</si>
  <si>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</si>
  <si>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 name</t>
  </si>
  <si>
    <t>SeasonMonthNameCa</t>
  </si>
  <si>
    <t>Modified customers</t>
  </si>
  <si>
    <t>SeasonModifiedCustomersCa</t>
  </si>
  <si>
    <t>tblStaff</t>
  </si>
  <si>
    <t>Number of staff</t>
  </si>
  <si>
    <t>SeasonNumberOfStaffCa</t>
  </si>
  <si>
    <t>Promotion</t>
  </si>
  <si>
    <t>Golden ticket month</t>
  </si>
  <si>
    <t>Golden ticket customers</t>
  </si>
  <si>
    <t>lstMonths</t>
  </si>
  <si>
    <t>PromotionGoldenTicketMonthIn</t>
  </si>
  <si>
    <t>PromotionGoldenTicketCustomersIn</t>
  </si>
  <si>
    <t>BOGOF start month</t>
  </si>
  <si>
    <t>BOGOF end month</t>
  </si>
  <si>
    <t>BOGOF customers</t>
  </si>
  <si>
    <t>PromotionBOGOFStartMonthIn</t>
  </si>
  <si>
    <t>PromotionBOGOFEndMonthIn</t>
  </si>
  <si>
    <t>PromotionBOGOFCustomersIn</t>
  </si>
  <si>
    <t>Golden ticket month?</t>
  </si>
  <si>
    <t>Golden ticket actual customers</t>
  </si>
  <si>
    <t>PromotionGTMonth?Ca</t>
  </si>
  <si>
    <t>PromotionGTActualCustomersCa</t>
  </si>
  <si>
    <t>BOGOF start month position</t>
  </si>
  <si>
    <t>BOGOF end month position</t>
  </si>
  <si>
    <t>PromotionBOGOFStartMonthPositionCa</t>
  </si>
  <si>
    <t>PromotionBOGOFEndMonthPositionCa</t>
  </si>
  <si>
    <t>BOGOF month?</t>
  </si>
  <si>
    <t>PromotionBOGOFMonth?Ca</t>
  </si>
  <si>
    <t>BOGOF actual customers</t>
  </si>
  <si>
    <t>PromotionBOGOFActualCustomersCa</t>
  </si>
  <si>
    <t>Incentive</t>
  </si>
  <si>
    <t>Month 1</t>
  </si>
  <si>
    <t>Month 2</t>
  </si>
  <si>
    <t>IncentiveMonth1In</t>
  </si>
  <si>
    <t>IncentiveMonth2In</t>
  </si>
  <si>
    <t>Cost</t>
  </si>
  <si>
    <t>IncentiveCostIn</t>
  </si>
  <si>
    <t>Month 1 position</t>
  </si>
  <si>
    <t>Month 2 position</t>
  </si>
  <si>
    <t xml:space="preserve"> None</t>
  </si>
  <si>
    <t>IncentiveMonth1PositionCa</t>
  </si>
  <si>
    <t>IncentiveMonth2PositionCa</t>
  </si>
  <si>
    <t>Incentive month?</t>
  </si>
  <si>
    <t>IncentiveMonth?Ca</t>
  </si>
  <si>
    <t>Actual cost</t>
  </si>
  <si>
    <t>IncentiveActualCostCa</t>
  </si>
  <si>
    <t>Report Metrics</t>
  </si>
  <si>
    <t>Line item</t>
  </si>
  <si>
    <t>Month</t>
  </si>
  <si>
    <t>lstLineItems</t>
  </si>
  <si>
    <t>MetricLineItem</t>
  </si>
  <si>
    <t>MetricMonth</t>
  </si>
  <si>
    <t>Line item position</t>
  </si>
  <si>
    <t>Month position</t>
  </si>
  <si>
    <t>MetricMonthPosition</t>
  </si>
  <si>
    <t>MetricLineItemPosition</t>
  </si>
  <si>
    <t>Value using INDEX</t>
  </si>
  <si>
    <t>Value using OFFSET</t>
  </si>
  <si>
    <t>How many months?</t>
  </si>
  <si>
    <t>Sum of costs/revenue</t>
  </si>
  <si>
    <t>Opening balance</t>
  </si>
  <si>
    <t>Deposit rate</t>
  </si>
  <si>
    <t>Loan rate</t>
  </si>
  <si>
    <t>CashflowOpeningBalanceIn</t>
  </si>
  <si>
    <t>CashflowDepositRateIn</t>
  </si>
  <si>
    <t>CashflowLoanRateIn</t>
  </si>
  <si>
    <t>Deposit interest</t>
  </si>
  <si>
    <t>Loan interest</t>
  </si>
  <si>
    <t>Money in/out</t>
  </si>
  <si>
    <t>Closing balance</t>
  </si>
  <si>
    <t>CashflowOpeningBalanceCa</t>
  </si>
  <si>
    <t>CashflowMoneyInOutCa</t>
  </si>
  <si>
    <t>CashflowClosingBalanceca</t>
  </si>
  <si>
    <t>Interest</t>
  </si>
  <si>
    <t>Positive balance</t>
  </si>
  <si>
    <t>InterestPositiveBalanceCa</t>
  </si>
  <si>
    <t>Monthly deposit rate</t>
  </si>
  <si>
    <t>InterestMonthlyDepositRateCa</t>
  </si>
  <si>
    <t>CashflowDepositInterestCa</t>
  </si>
  <si>
    <t>Negative balance</t>
  </si>
  <si>
    <t>InterestNegativeBalanceCa</t>
  </si>
  <si>
    <t>Monthly loan rate</t>
  </si>
  <si>
    <t>InterestMonthlyLoanRateCa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</si>
</sst>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164" formatCode="dd\ mmm\ yyyy"/>
    <numFmt numFmtId="165" formatCode="@&quot; ==&gt;&quot;"/>
    <numFmt numFmtId="166" formatCode="0.0"/>
    <numFmt numFmtId="167" formatCode=";;;"/>
    <numFmt numFmtId="168" formatCode="#,##0_);\(#,##0\);\-_)"/>
    <numFmt numFmtId="169" formatCode="0.000%"/>
    <numFmt numFmtId="170" formatCode="#,##0.00_);\(#,##0.00\);\-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 tint="-0.2499465926084170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9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type="path" left="0.5" right="0.5" top="0.5" bottom="0.5">
        <stop position="0">
          <color theme="9" tint="0.80001220740379042"/>
        </stop>
        <stop position="1">
          <color theme="3" tint="0.80001220740379042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mediumDashDot">
        <color rgb="FFFF0000"/>
      </left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4" fillId="2" borderId="1" applyAlignment="0" applyProtection="0"/>
    <xf numFmtId="0" fontId="1" fillId="3" borderId="2">
      <alignment horizontal="center"/>
    </xf>
    <xf numFmtId="165" fontId="5" fillId="0" borderId="0">
      <alignment horizontal="right" indent="1"/>
    </xf>
    <xf numFmtId="167" fontId="1" fillId="0" borderId="0"/>
    <xf numFmtId="0" fontId="5" fillId="0" borderId="0">
      <alignment horizontal="center"/>
    </xf>
    <xf numFmtId="0" fontId="1" fillId="5" borderId="2">
      <protection locked="0"/>
    </xf>
    <xf numFmtId="0" fontId="7" fillId="0" borderId="0">
      <alignment horizontal="left" indent="1"/>
    </xf>
    <xf numFmtId="168" fontId="1" fillId="6" borderId="2"/>
    <xf numFmtId="9" fontId="1" fillId="5" borderId="2">
      <protection locked="0"/>
    </xf>
    <xf numFmtId="9" fontId="1" fillId="0" borderId="0" applyFont="0" applyFill="0" applyBorder="0" applyAlignment="0" applyProtection="0"/>
    <xf numFmtId="0" fontId="3" fillId="7" borderId="0"/>
    <xf numFmtId="0" fontId="1" fillId="8" borderId="2"/>
  </cellStyleXfs>
  <cellXfs count="30">
    <xf numFmtId="0" fontId="0" fillId="0" borderId="0" xfId="0"/>
    <xf numFmtId="0" fontId="0" fillId="3" borderId="2" xfId="0" applyFill="1" applyBorder="1" applyAlignment="1">
      <alignment horizontal="center"/>
    </xf>
    <xf numFmtId="165" fontId="5" fillId="0" borderId="0" xfId="3">
      <alignment horizontal="right" indent="1"/>
    </xf>
    <xf numFmtId="164" fontId="0" fillId="3" borderId="2" xfId="0" applyNumberFormat="1" applyFill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0" fontId="0" fillId="3" borderId="2" xfId="2" applyFont="1">
      <alignment horizontal="center"/>
    </xf>
    <xf numFmtId="167" fontId="1" fillId="0" borderId="0" xfId="4"/>
    <xf numFmtId="14" fontId="0" fillId="0" borderId="0" xfId="0" applyNumberFormat="1"/>
    <xf numFmtId="14" fontId="3" fillId="4" borderId="0" xfId="0" applyNumberFormat="1" applyFont="1" applyFill="1"/>
    <xf numFmtId="0" fontId="3" fillId="4" borderId="0" xfId="0" applyFont="1" applyFill="1"/>
    <xf numFmtId="0" fontId="6" fillId="4" borderId="0" xfId="0" applyFont="1" applyFill="1" applyAlignment="1">
      <alignment horizontal="right" indent="1"/>
    </xf>
    <xf numFmtId="0" fontId="2" fillId="4" borderId="0" xfId="0" applyFont="1" applyFill="1"/>
    <xf numFmtId="0" fontId="7" fillId="0" borderId="0" xfId="0" applyFont="1" applyAlignment="1">
      <alignment horizontal="left" indent="1"/>
    </xf>
    <xf numFmtId="0" fontId="1" fillId="3" borderId="2" xfId="2">
      <alignment horizontal="center"/>
    </xf>
    <xf numFmtId="0" fontId="5" fillId="0" borderId="0" xfId="0" applyFont="1" applyAlignment="1">
      <alignment horizontal="center"/>
    </xf>
    <xf numFmtId="0" fontId="5" fillId="0" borderId="0" xfId="5">
      <alignment horizontal="center"/>
    </xf>
    <xf numFmtId="0" fontId="1" fillId="5" borderId="2" xfId="6">
      <protection locked="0"/>
    </xf>
    <xf numFmtId="0" fontId="7" fillId="0" borderId="0" xfId="7">
      <alignment horizontal="left" indent="1"/>
    </xf>
    <xf numFmtId="0" fontId="7" fillId="0" borderId="0" xfId="7" applyFill="1" applyBorder="1">
      <alignment horizontal="left" indent="1"/>
    </xf>
    <xf numFmtId="168" fontId="1" fillId="6" borderId="2" xfId="8"/>
    <xf numFmtId="9" fontId="1" fillId="5" borderId="2" xfId="9">
      <protection locked="0"/>
    </xf>
    <xf numFmtId="0" fontId="5" fillId="0" borderId="0" xfId="5" applyFill="1">
      <alignment horizontal="center"/>
    </xf>
    <xf numFmtId="168" fontId="1" fillId="6" borderId="2" xfId="8" applyNumberFormat="1"/>
    <xf numFmtId="0" fontId="3" fillId="7" borderId="0" xfId="11"/>
    <xf numFmtId="0" fontId="0" fillId="8" borderId="2" xfId="0" applyFill="1" applyBorder="1"/>
    <xf numFmtId="0" fontId="1" fillId="8" borderId="2" xfId="12"/>
    <xf numFmtId="169" fontId="1" fillId="6" borderId="2" xfId="10" applyNumberFormat="1" applyFill="1" applyBorder="1"/>
    <xf numFmtId="170" fontId="1" fillId="6" borderId="2" xfId="8" applyNumberFormat="1"/>
    <xf numFmtId="0" fontId="2" fillId="4" borderId="0" xfId="0" applyFont="1" applyFill="1" applyAlignment="1">
      <alignment horizontal="center"/>
    </xf>
    <xf numFmtId="0" fontId="1" fillId="5" borderId="2" xfId="6" applyProtection="1">
      <protection locked="0"/>
    </xf>
  </cellXfs>
  <cellStyles count="13">
    <cellStyle name="Calc cell" xfId="8"/>
    <cellStyle name="CoverCell" xfId="2"/>
    <cellStyle name="CoverCellLabel" xfId="3"/>
    <cellStyle name="Currency" xfId="1" builtinId="4" customBuiltin="1"/>
    <cellStyle name="Hidden" xfId="4"/>
    <cellStyle name="Input cell" xfId="6"/>
    <cellStyle name="Input cell percent" xfId="9"/>
    <cellStyle name="Input mask" xfId="11"/>
    <cellStyle name="Metric cell" xfId="12"/>
    <cellStyle name="Normal" xfId="0" builtinId="0"/>
    <cellStyle name="Percent" xfId="10" builtinId="5"/>
    <cellStyle name="Range name" xfId="7"/>
    <cellStyle name="Units" xfId="5"/>
  </cellStyles>
  <dxfs count="2"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showGridLines="0" workbookViewId="0">
      <selection activeCell="C4" sqref="C4"/>
    </sheetView>
  </sheetViews>
  <sheetFormatPr defaultColWidth="0" defaultRowHeight="15" zeroHeight="1" x14ac:dyDescent="0.25"/>
  <cols>
    <col min="1" max="1" width="2.85546875" customWidth="1"/>
    <col min="2" max="2" width="24.28515625" bestFit="1" customWidth="1"/>
    <col min="3" max="3" width="27.140625" customWidth="1"/>
    <col min="4" max="4" width="3.5703125" style="6" customWidth="1"/>
    <col min="5" max="19" width="0" hidden="1" customWidth="1"/>
    <col min="20" max="16384" width="9.140625" hidden="1"/>
  </cols>
  <sheetData>
    <row r="1" spans="2:4" x14ac:dyDescent="0.25"/>
    <row r="2" spans="2:4" x14ac:dyDescent="0.25">
      <c r="B2" s="2" t="s">
        <v>1</v>
      </c>
      <c r="C2" s="1" t="s">
        <v>0</v>
      </c>
      <c r="D2" s="6" t="s">
        <v>6</v>
      </c>
    </row>
    <row r="3" spans="2:4" x14ac:dyDescent="0.25"/>
    <row r="4" spans="2:4" x14ac:dyDescent="0.25">
      <c r="B4" s="2" t="s">
        <v>2</v>
      </c>
      <c r="C4" s="3">
        <f ca="1">EOMONTH(TODAY(),-1)+1</f>
        <v>40940</v>
      </c>
      <c r="D4" s="6" t="s">
        <v>7</v>
      </c>
    </row>
    <row r="5" spans="2:4" x14ac:dyDescent="0.25"/>
    <row r="6" spans="2:4" x14ac:dyDescent="0.25">
      <c r="B6" s="2" t="s">
        <v>3</v>
      </c>
      <c r="C6" s="4">
        <v>1</v>
      </c>
      <c r="D6" s="6" t="s">
        <v>8</v>
      </c>
    </row>
    <row r="7" spans="2:4" x14ac:dyDescent="0.25"/>
    <row r="8" spans="2:4" x14ac:dyDescent="0.25">
      <c r="B8" s="2" t="s">
        <v>4</v>
      </c>
      <c r="C8" s="5" t="s">
        <v>5</v>
      </c>
      <c r="D8" s="6" t="s">
        <v>9</v>
      </c>
    </row>
    <row r="9" spans="2:4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showGridLines="0" workbookViewId="0">
      <selection activeCell="C7" sqref="C7"/>
    </sheetView>
  </sheetViews>
  <sheetFormatPr defaultColWidth="0" defaultRowHeight="15" customHeight="1" zeroHeight="1" x14ac:dyDescent="0.25"/>
  <cols>
    <col min="1" max="1" width="2.85546875" customWidth="1"/>
    <col min="2" max="2" width="28.28515625" bestFit="1" customWidth="1"/>
    <col min="3" max="3" width="27.140625" customWidth="1"/>
    <col min="4" max="4" width="3.5703125" style="6" customWidth="1"/>
    <col min="5" max="19" width="0" hidden="1" customWidth="1"/>
    <col min="20" max="16384" width="9.140625" hidden="1"/>
  </cols>
  <sheetData>
    <row r="1" spans="2:4" x14ac:dyDescent="0.25"/>
    <row r="2" spans="2:4" x14ac:dyDescent="0.25">
      <c r="B2" s="2" t="s">
        <v>29</v>
      </c>
      <c r="C2" s="13">
        <f ca="1">TODAY()</f>
        <v>40967</v>
      </c>
      <c r="D2" s="6" t="s">
        <v>6</v>
      </c>
    </row>
    <row r="3" spans="2:4" x14ac:dyDescent="0.25">
      <c r="B3" s="2" t="s">
        <v>30</v>
      </c>
      <c r="C3" s="13">
        <v>0</v>
      </c>
    </row>
    <row r="4" spans="2:4" x14ac:dyDescent="0.25">
      <c r="B4" s="2" t="s">
        <v>31</v>
      </c>
      <c r="C4" s="13">
        <v>3.1415965250000002</v>
      </c>
      <c r="D4" s="6" t="s">
        <v>7</v>
      </c>
    </row>
    <row r="5" spans="2:4" x14ac:dyDescent="0.25">
      <c r="B5" s="2"/>
    </row>
    <row r="6" spans="2:4" x14ac:dyDescent="0.25">
      <c r="B6" s="2" t="s">
        <v>32</v>
      </c>
      <c r="C6" s="13">
        <v>2.72</v>
      </c>
    </row>
    <row r="7" spans="2:4" x14ac:dyDescent="0.25">
      <c r="B7" s="2" t="s">
        <v>33</v>
      </c>
      <c r="C7" s="13">
        <v>-1.3</v>
      </c>
      <c r="D7" s="6" t="s">
        <v>8</v>
      </c>
    </row>
    <row r="8" spans="2:4" x14ac:dyDescent="0.25">
      <c r="B8" s="2" t="s">
        <v>34</v>
      </c>
      <c r="C8" s="13">
        <v>2315.35</v>
      </c>
    </row>
    <row r="9" spans="2:4" x14ac:dyDescent="0.25">
      <c r="B9" s="2" t="s">
        <v>35</v>
      </c>
      <c r="C9" s="13">
        <f>SUM(C6:C8)</f>
        <v>2316.77</v>
      </c>
      <c r="D9" s="6" t="s">
        <v>9</v>
      </c>
    </row>
    <row r="10" spans="2:4" x14ac:dyDescent="0.25">
      <c r="B1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10" customWidth="1"/>
    <col min="2" max="2" width="19.42578125" customWidth="1"/>
    <col min="3" max="3" width="7.7109375" customWidth="1"/>
    <col min="4" max="4" width="10.42578125" customWidth="1"/>
    <col min="5" max="5" width="12.42578125" customWidth="1"/>
    <col min="6" max="17" width="11.42578125" customWidth="1"/>
    <col min="18" max="18" width="24.140625" bestFit="1" customWidth="1"/>
  </cols>
  <sheetData>
    <row r="1" spans="1:18" x14ac:dyDescent="0.25">
      <c r="A1" s="28" t="str">
        <f>CoverTitle</f>
        <v>The Chocolate Emporium</v>
      </c>
      <c r="B1" s="28"/>
      <c r="C1" s="9"/>
      <c r="D1" s="9"/>
      <c r="E1" s="10" t="s">
        <v>18</v>
      </c>
      <c r="F1" s="9">
        <v>1</v>
      </c>
      <c r="G1" s="9">
        <v>2</v>
      </c>
      <c r="H1" s="9">
        <v>3</v>
      </c>
      <c r="I1" s="9">
        <v>4</v>
      </c>
      <c r="J1" s="9">
        <v>5</v>
      </c>
      <c r="K1" s="9">
        <v>6</v>
      </c>
      <c r="L1" s="9">
        <v>7</v>
      </c>
      <c r="M1" s="9">
        <v>8</v>
      </c>
      <c r="N1" s="9">
        <v>9</v>
      </c>
      <c r="O1" s="9">
        <v>10</v>
      </c>
      <c r="P1" s="9">
        <v>11</v>
      </c>
      <c r="Q1" s="9">
        <v>12</v>
      </c>
      <c r="R1" s="12" t="s">
        <v>22</v>
      </c>
    </row>
    <row r="2" spans="1:18" x14ac:dyDescent="0.25">
      <c r="A2" s="9"/>
      <c r="B2" s="9"/>
      <c r="C2" s="9"/>
      <c r="D2" s="9"/>
      <c r="E2" s="10" t="s">
        <v>20</v>
      </c>
      <c r="F2" s="8">
        <f ca="1">CoverStartDate</f>
        <v>40940</v>
      </c>
      <c r="G2" s="8">
        <f ca="1">F3+1</f>
        <v>40969</v>
      </c>
      <c r="H2" s="8">
        <f t="shared" ref="H2:Q2" ca="1" si="0">G3+1</f>
        <v>41000</v>
      </c>
      <c r="I2" s="8">
        <f t="shared" ca="1" si="0"/>
        <v>41030</v>
      </c>
      <c r="J2" s="8">
        <f t="shared" ca="1" si="0"/>
        <v>41061</v>
      </c>
      <c r="K2" s="8">
        <f t="shared" ca="1" si="0"/>
        <v>41091</v>
      </c>
      <c r="L2" s="8">
        <f t="shared" ca="1" si="0"/>
        <v>41122</v>
      </c>
      <c r="M2" s="8">
        <f t="shared" ca="1" si="0"/>
        <v>41153</v>
      </c>
      <c r="N2" s="8">
        <f t="shared" ca="1" si="0"/>
        <v>41183</v>
      </c>
      <c r="O2" s="8">
        <f t="shared" ca="1" si="0"/>
        <v>41214</v>
      </c>
      <c r="P2" s="8">
        <f t="shared" ca="1" si="0"/>
        <v>41244</v>
      </c>
      <c r="Q2" s="8">
        <f t="shared" ca="1" si="0"/>
        <v>41275</v>
      </c>
      <c r="R2" s="12" t="s">
        <v>21</v>
      </c>
    </row>
    <row r="3" spans="1:18" x14ac:dyDescent="0.25">
      <c r="A3" s="11" t="s">
        <v>15</v>
      </c>
      <c r="B3" s="11" t="s">
        <v>16</v>
      </c>
      <c r="C3" s="11" t="s">
        <v>14</v>
      </c>
      <c r="D3" s="9"/>
      <c r="E3" s="10" t="s">
        <v>19</v>
      </c>
      <c r="F3" s="8">
        <f ca="1">EOMONTH(CoverStartDate,0)</f>
        <v>40968</v>
      </c>
      <c r="G3" s="8">
        <f ca="1">EOMONTH(G2,0)</f>
        <v>40999</v>
      </c>
      <c r="H3" s="8">
        <f t="shared" ref="H3:Q3" ca="1" si="1">EOMONTH(H2,0)</f>
        <v>41029</v>
      </c>
      <c r="I3" s="8">
        <f t="shared" ca="1" si="1"/>
        <v>41060</v>
      </c>
      <c r="J3" s="8">
        <f t="shared" ca="1" si="1"/>
        <v>41090</v>
      </c>
      <c r="K3" s="8">
        <f t="shared" ca="1" si="1"/>
        <v>41121</v>
      </c>
      <c r="L3" s="8">
        <f t="shared" ca="1" si="1"/>
        <v>41152</v>
      </c>
      <c r="M3" s="8">
        <f t="shared" ca="1" si="1"/>
        <v>41182</v>
      </c>
      <c r="N3" s="8">
        <f t="shared" ca="1" si="1"/>
        <v>41213</v>
      </c>
      <c r="O3" s="8">
        <f t="shared" ca="1" si="1"/>
        <v>41243</v>
      </c>
      <c r="P3" s="8">
        <f t="shared" ca="1" si="1"/>
        <v>41274</v>
      </c>
      <c r="Q3" s="8">
        <f t="shared" ca="1" si="1"/>
        <v>41305</v>
      </c>
      <c r="R3" s="12" t="s">
        <v>23</v>
      </c>
    </row>
    <row r="4" spans="1:18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5">
      <c r="A5" t="s">
        <v>10</v>
      </c>
    </row>
    <row r="6" spans="1:18" x14ac:dyDescent="0.25">
      <c r="B6" t="s">
        <v>11</v>
      </c>
      <c r="C6" s="14" t="s">
        <v>36</v>
      </c>
      <c r="F6" s="29">
        <v>-500</v>
      </c>
      <c r="G6" s="29">
        <v>-500</v>
      </c>
      <c r="H6" s="29">
        <v>-500</v>
      </c>
      <c r="I6" s="29">
        <v>-500</v>
      </c>
      <c r="J6" s="29">
        <v>-500</v>
      </c>
      <c r="K6" s="29">
        <v>-500</v>
      </c>
      <c r="L6" s="29">
        <v>-500</v>
      </c>
      <c r="M6" s="29">
        <v>-500</v>
      </c>
      <c r="N6" s="29">
        <v>-500</v>
      </c>
      <c r="O6" s="29">
        <v>-500</v>
      </c>
      <c r="P6" s="29">
        <v>-500</v>
      </c>
      <c r="Q6" s="29">
        <v>-500</v>
      </c>
      <c r="R6" s="17" t="s">
        <v>37</v>
      </c>
    </row>
    <row r="7" spans="1:18" x14ac:dyDescent="0.25">
      <c r="B7" t="s">
        <v>12</v>
      </c>
      <c r="C7" s="14" t="s">
        <v>36</v>
      </c>
      <c r="F7" s="29">
        <v>-400</v>
      </c>
      <c r="G7" s="29">
        <v>-410</v>
      </c>
      <c r="H7" s="29">
        <v>-420</v>
      </c>
      <c r="I7" s="29">
        <v>-430</v>
      </c>
      <c r="J7" s="29">
        <v>-440</v>
      </c>
      <c r="K7" s="29">
        <v>-450</v>
      </c>
      <c r="L7" s="29">
        <v>-460</v>
      </c>
      <c r="M7" s="29">
        <v>-470</v>
      </c>
      <c r="N7" s="29">
        <v>-480</v>
      </c>
      <c r="O7" s="29">
        <v>-490</v>
      </c>
      <c r="P7" s="29">
        <v>-500</v>
      </c>
      <c r="Q7" s="29">
        <v>-510</v>
      </c>
      <c r="R7" s="17" t="s">
        <v>38</v>
      </c>
    </row>
    <row r="8" spans="1:18" x14ac:dyDescent="0.25">
      <c r="B8" t="s">
        <v>13</v>
      </c>
      <c r="C8" s="14" t="s">
        <v>36</v>
      </c>
      <c r="F8" s="29">
        <v>-300</v>
      </c>
      <c r="G8" s="29">
        <v>-350</v>
      </c>
      <c r="H8" s="29">
        <v>-400</v>
      </c>
      <c r="I8" s="29">
        <v>-450</v>
      </c>
      <c r="J8" s="29">
        <v>-500</v>
      </c>
      <c r="K8" s="29">
        <v>-550</v>
      </c>
      <c r="L8" s="29">
        <v>-600</v>
      </c>
      <c r="M8" s="29">
        <v>-650</v>
      </c>
      <c r="N8" s="29">
        <v>-700</v>
      </c>
      <c r="O8" s="29">
        <v>-750</v>
      </c>
      <c r="P8" s="29">
        <v>-800</v>
      </c>
      <c r="Q8" s="29">
        <v>-850</v>
      </c>
      <c r="R8" s="18" t="s">
        <v>39</v>
      </c>
    </row>
    <row r="10" spans="1:18" x14ac:dyDescent="0.25">
      <c r="A10" t="s">
        <v>27</v>
      </c>
    </row>
    <row r="11" spans="1:18" x14ac:dyDescent="0.25">
      <c r="B11" t="s">
        <v>41</v>
      </c>
      <c r="C11" s="14" t="s">
        <v>42</v>
      </c>
      <c r="E11" s="16">
        <v>200</v>
      </c>
      <c r="F11" s="17" t="s">
        <v>43</v>
      </c>
    </row>
    <row r="12" spans="1:18" x14ac:dyDescent="0.25">
      <c r="B12" t="s">
        <v>44</v>
      </c>
      <c r="C12" s="14" t="s">
        <v>36</v>
      </c>
      <c r="E12" s="16">
        <v>5.5</v>
      </c>
      <c r="F12" s="17" t="s">
        <v>45</v>
      </c>
    </row>
    <row r="13" spans="1:18" x14ac:dyDescent="0.25">
      <c r="B13" t="s">
        <v>46</v>
      </c>
      <c r="C13" s="14" t="s">
        <v>47</v>
      </c>
      <c r="F13" s="20">
        <v>1</v>
      </c>
      <c r="G13" s="20">
        <v>1.1000000000000001</v>
      </c>
      <c r="H13" s="20">
        <v>1.2</v>
      </c>
      <c r="I13" s="20">
        <v>1.3</v>
      </c>
      <c r="J13" s="20">
        <v>1.4</v>
      </c>
      <c r="K13" s="20">
        <v>1.5</v>
      </c>
      <c r="L13" s="20">
        <v>1.6</v>
      </c>
      <c r="M13" s="20">
        <v>1.7000000000000002</v>
      </c>
      <c r="N13" s="20">
        <v>1.8</v>
      </c>
      <c r="O13" s="20">
        <v>1.9</v>
      </c>
      <c r="P13" s="20">
        <v>2</v>
      </c>
      <c r="Q13" s="20">
        <v>2.1</v>
      </c>
      <c r="R13" s="17" t="s">
        <v>48</v>
      </c>
    </row>
    <row r="15" spans="1:18" x14ac:dyDescent="0.25">
      <c r="A15" t="s">
        <v>77</v>
      </c>
    </row>
    <row r="16" spans="1:18" x14ac:dyDescent="0.25">
      <c r="B16" t="s">
        <v>78</v>
      </c>
      <c r="C16" s="15" t="s">
        <v>42</v>
      </c>
      <c r="E16" s="16" t="s">
        <v>64</v>
      </c>
      <c r="F16" s="17" t="s">
        <v>81</v>
      </c>
    </row>
    <row r="17" spans="1:6" x14ac:dyDescent="0.25">
      <c r="B17" t="s">
        <v>79</v>
      </c>
      <c r="C17" s="15" t="s">
        <v>42</v>
      </c>
      <c r="E17" s="16">
        <v>123</v>
      </c>
      <c r="F17" s="17" t="s">
        <v>82</v>
      </c>
    </row>
    <row r="19" spans="1:6" x14ac:dyDescent="0.25">
      <c r="B19" t="s">
        <v>83</v>
      </c>
      <c r="C19" s="15" t="s">
        <v>42</v>
      </c>
      <c r="E19" s="16" t="s">
        <v>62</v>
      </c>
      <c r="F19" s="17" t="s">
        <v>86</v>
      </c>
    </row>
    <row r="20" spans="1:6" x14ac:dyDescent="0.25">
      <c r="B20" t="s">
        <v>84</v>
      </c>
      <c r="C20" s="15" t="s">
        <v>42</v>
      </c>
      <c r="E20" s="16" t="s">
        <v>65</v>
      </c>
      <c r="F20" s="17" t="s">
        <v>87</v>
      </c>
    </row>
    <row r="21" spans="1:6" x14ac:dyDescent="0.25">
      <c r="B21" t="s">
        <v>85</v>
      </c>
      <c r="C21" s="15" t="s">
        <v>42</v>
      </c>
      <c r="E21" s="16">
        <v>50</v>
      </c>
      <c r="F21" s="17" t="s">
        <v>88</v>
      </c>
    </row>
    <row r="23" spans="1:6" x14ac:dyDescent="0.25">
      <c r="A23" t="s">
        <v>101</v>
      </c>
    </row>
    <row r="24" spans="1:6" x14ac:dyDescent="0.25">
      <c r="B24" t="s">
        <v>102</v>
      </c>
      <c r="C24" s="15" t="s">
        <v>42</v>
      </c>
      <c r="E24" s="16" t="s">
        <v>60</v>
      </c>
      <c r="F24" s="18" t="s">
        <v>104</v>
      </c>
    </row>
    <row r="25" spans="1:6" x14ac:dyDescent="0.25">
      <c r="B25" t="s">
        <v>103</v>
      </c>
      <c r="C25" s="15" t="s">
        <v>42</v>
      </c>
      <c r="E25" s="16" t="s">
        <v>66</v>
      </c>
      <c r="F25" s="18" t="s">
        <v>105</v>
      </c>
    </row>
    <row r="26" spans="1:6" x14ac:dyDescent="0.25">
      <c r="B26" t="s">
        <v>106</v>
      </c>
      <c r="C26" s="21" t="s">
        <v>36</v>
      </c>
      <c r="E26" s="16">
        <v>-100</v>
      </c>
      <c r="F26" s="17" t="s">
        <v>107</v>
      </c>
    </row>
    <row r="28" spans="1:6" x14ac:dyDescent="0.25">
      <c r="A28" t="s">
        <v>26</v>
      </c>
    </row>
    <row r="29" spans="1:6" x14ac:dyDescent="0.25">
      <c r="B29" t="s">
        <v>131</v>
      </c>
      <c r="C29" s="21" t="s">
        <v>36</v>
      </c>
      <c r="E29" s="16">
        <v>100</v>
      </c>
      <c r="F29" s="18" t="s">
        <v>134</v>
      </c>
    </row>
    <row r="30" spans="1:6" x14ac:dyDescent="0.25">
      <c r="B30" t="s">
        <v>132</v>
      </c>
      <c r="C30" s="21" t="s">
        <v>47</v>
      </c>
      <c r="E30" s="20">
        <v>0.03</v>
      </c>
      <c r="F30" s="18" t="s">
        <v>135</v>
      </c>
    </row>
    <row r="31" spans="1:6" x14ac:dyDescent="0.25">
      <c r="B31" t="s">
        <v>133</v>
      </c>
      <c r="C31" s="21" t="s">
        <v>47</v>
      </c>
      <c r="E31" s="20">
        <v>0.06</v>
      </c>
      <c r="F31" s="18" t="s">
        <v>136</v>
      </c>
    </row>
  </sheetData>
  <mergeCells count="1">
    <mergeCell ref="A1:B1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RowHeight="15" x14ac:dyDescent="0.25"/>
  <cols>
    <col min="1" max="1" width="10" customWidth="1"/>
    <col min="2" max="2" width="22.5703125" customWidth="1"/>
    <col min="3" max="3" width="7.7109375" customWidth="1"/>
    <col min="4" max="4" width="7" customWidth="1"/>
    <col min="5" max="5" width="9.85546875" customWidth="1"/>
    <col min="6" max="17" width="11.42578125" customWidth="1"/>
    <col min="18" max="18" width="27.140625" customWidth="1"/>
  </cols>
  <sheetData>
    <row r="1" spans="1:18" x14ac:dyDescent="0.25">
      <c r="A1" s="28" t="str">
        <f>CoverTitle</f>
        <v>The Chocolate Emporium</v>
      </c>
      <c r="B1" s="28"/>
      <c r="C1" s="9"/>
      <c r="D1" s="9"/>
      <c r="E1" s="10" t="s">
        <v>18</v>
      </c>
      <c r="F1" s="9">
        <f t="shared" ref="F1:Q1" si="0">PeriodIn</f>
        <v>1</v>
      </c>
      <c r="G1" s="9">
        <f t="shared" si="0"/>
        <v>2</v>
      </c>
      <c r="H1" s="9">
        <f t="shared" si="0"/>
        <v>3</v>
      </c>
      <c r="I1" s="9">
        <f t="shared" si="0"/>
        <v>4</v>
      </c>
      <c r="J1" s="9">
        <f t="shared" si="0"/>
        <v>5</v>
      </c>
      <c r="K1" s="9">
        <f t="shared" si="0"/>
        <v>6</v>
      </c>
      <c r="L1" s="9">
        <f t="shared" si="0"/>
        <v>7</v>
      </c>
      <c r="M1" s="9">
        <f t="shared" si="0"/>
        <v>8</v>
      </c>
      <c r="N1" s="9">
        <f t="shared" si="0"/>
        <v>9</v>
      </c>
      <c r="O1" s="9">
        <f t="shared" si="0"/>
        <v>10</v>
      </c>
      <c r="P1" s="9">
        <f t="shared" si="0"/>
        <v>11</v>
      </c>
      <c r="Q1" s="9">
        <f t="shared" si="0"/>
        <v>12</v>
      </c>
      <c r="R1" s="12" t="s">
        <v>17</v>
      </c>
    </row>
    <row r="2" spans="1:18" x14ac:dyDescent="0.25">
      <c r="A2" s="9"/>
      <c r="B2" s="9"/>
      <c r="C2" s="9"/>
      <c r="D2" s="9"/>
      <c r="E2" s="10" t="s">
        <v>20</v>
      </c>
      <c r="F2" s="8">
        <f t="shared" ref="F2:Q2" ca="1" si="1">StartDateIn</f>
        <v>40940</v>
      </c>
      <c r="G2" s="8">
        <f t="shared" ca="1" si="1"/>
        <v>40969</v>
      </c>
      <c r="H2" s="8">
        <f t="shared" ca="1" si="1"/>
        <v>41000</v>
      </c>
      <c r="I2" s="8">
        <f t="shared" ca="1" si="1"/>
        <v>41030</v>
      </c>
      <c r="J2" s="8">
        <f t="shared" ca="1" si="1"/>
        <v>41061</v>
      </c>
      <c r="K2" s="8">
        <f t="shared" ca="1" si="1"/>
        <v>41091</v>
      </c>
      <c r="L2" s="8">
        <f t="shared" ca="1" si="1"/>
        <v>41122</v>
      </c>
      <c r="M2" s="8">
        <f t="shared" ca="1" si="1"/>
        <v>41153</v>
      </c>
      <c r="N2" s="8">
        <f t="shared" ca="1" si="1"/>
        <v>41183</v>
      </c>
      <c r="O2" s="8">
        <f t="shared" ca="1" si="1"/>
        <v>41214</v>
      </c>
      <c r="P2" s="8">
        <f t="shared" ca="1" si="1"/>
        <v>41244</v>
      </c>
      <c r="Q2" s="8">
        <f t="shared" ca="1" si="1"/>
        <v>41275</v>
      </c>
      <c r="R2" s="12" t="s">
        <v>24</v>
      </c>
    </row>
    <row r="3" spans="1:18" x14ac:dyDescent="0.25">
      <c r="A3" s="11" t="s">
        <v>15</v>
      </c>
      <c r="B3" s="11" t="s">
        <v>16</v>
      </c>
      <c r="C3" s="11" t="s">
        <v>14</v>
      </c>
      <c r="D3" s="9"/>
      <c r="E3" s="10" t="s">
        <v>19</v>
      </c>
      <c r="F3" s="8">
        <f t="shared" ref="F3:Q3" ca="1" si="2">EndDateIn</f>
        <v>40968</v>
      </c>
      <c r="G3" s="8">
        <f t="shared" ca="1" si="2"/>
        <v>40999</v>
      </c>
      <c r="H3" s="8">
        <f t="shared" ca="1" si="2"/>
        <v>41029</v>
      </c>
      <c r="I3" s="8">
        <f t="shared" ca="1" si="2"/>
        <v>41060</v>
      </c>
      <c r="J3" s="8">
        <f t="shared" ca="1" si="2"/>
        <v>41090</v>
      </c>
      <c r="K3" s="8">
        <f t="shared" ca="1" si="2"/>
        <v>41121</v>
      </c>
      <c r="L3" s="8">
        <f t="shared" ca="1" si="2"/>
        <v>41152</v>
      </c>
      <c r="M3" s="8">
        <f t="shared" ca="1" si="2"/>
        <v>41182</v>
      </c>
      <c r="N3" s="8">
        <f t="shared" ca="1" si="2"/>
        <v>41213</v>
      </c>
      <c r="O3" s="8">
        <f t="shared" ca="1" si="2"/>
        <v>41243</v>
      </c>
      <c r="P3" s="8">
        <f t="shared" ca="1" si="2"/>
        <v>41274</v>
      </c>
      <c r="Q3" s="8">
        <f t="shared" ca="1" si="2"/>
        <v>41305</v>
      </c>
      <c r="R3" s="12" t="s">
        <v>25</v>
      </c>
    </row>
    <row r="4" spans="1:18" x14ac:dyDescent="0.25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5">
      <c r="A5" t="s">
        <v>26</v>
      </c>
    </row>
    <row r="6" spans="1:18" x14ac:dyDescent="0.25">
      <c r="B6" t="s">
        <v>49</v>
      </c>
      <c r="C6" s="15" t="s">
        <v>42</v>
      </c>
      <c r="F6" s="19">
        <f t="shared" ref="F6:Q6" si="3">RevenueInitialCustomersIn*RevenueCustomerMultiplierIn</f>
        <v>200</v>
      </c>
      <c r="G6" s="19">
        <f t="shared" si="3"/>
        <v>220.00000000000003</v>
      </c>
      <c r="H6" s="19">
        <f t="shared" si="3"/>
        <v>240</v>
      </c>
      <c r="I6" s="19">
        <f t="shared" si="3"/>
        <v>260</v>
      </c>
      <c r="J6" s="19">
        <f t="shared" si="3"/>
        <v>280</v>
      </c>
      <c r="K6" s="19">
        <f t="shared" si="3"/>
        <v>300</v>
      </c>
      <c r="L6" s="19">
        <f t="shared" si="3"/>
        <v>320</v>
      </c>
      <c r="M6" s="19">
        <f t="shared" si="3"/>
        <v>340.00000000000006</v>
      </c>
      <c r="N6" s="19">
        <f t="shared" si="3"/>
        <v>360</v>
      </c>
      <c r="O6" s="19">
        <f t="shared" si="3"/>
        <v>380</v>
      </c>
      <c r="P6" s="19">
        <f t="shared" si="3"/>
        <v>400</v>
      </c>
      <c r="Q6" s="19">
        <f t="shared" si="3"/>
        <v>420</v>
      </c>
      <c r="R6" s="17" t="s">
        <v>50</v>
      </c>
    </row>
    <row r="7" spans="1:18" x14ac:dyDescent="0.25">
      <c r="B7" t="s">
        <v>27</v>
      </c>
      <c r="C7" s="15" t="s">
        <v>36</v>
      </c>
      <c r="F7" s="19">
        <f t="shared" ref="F7:Q7" si="4">CashflowCustomersCa*RevenueCustomerSpendIn</f>
        <v>1100</v>
      </c>
      <c r="G7" s="19">
        <f t="shared" si="4"/>
        <v>1210.0000000000002</v>
      </c>
      <c r="H7" s="19">
        <f t="shared" si="4"/>
        <v>1320</v>
      </c>
      <c r="I7" s="19">
        <f t="shared" si="4"/>
        <v>1430</v>
      </c>
      <c r="J7" s="19">
        <f t="shared" si="4"/>
        <v>1540</v>
      </c>
      <c r="K7" s="19">
        <f t="shared" si="4"/>
        <v>1650</v>
      </c>
      <c r="L7" s="19">
        <f t="shared" si="4"/>
        <v>1760</v>
      </c>
      <c r="M7" s="19">
        <f t="shared" si="4"/>
        <v>1870.0000000000002</v>
      </c>
      <c r="N7" s="19">
        <f t="shared" si="4"/>
        <v>1980</v>
      </c>
      <c r="O7" s="19">
        <f t="shared" si="4"/>
        <v>2090</v>
      </c>
      <c r="P7" s="19">
        <f t="shared" si="4"/>
        <v>2200</v>
      </c>
      <c r="Q7" s="19">
        <f t="shared" si="4"/>
        <v>2310</v>
      </c>
      <c r="R7" s="17" t="s">
        <v>51</v>
      </c>
    </row>
    <row r="8" spans="1:18" x14ac:dyDescent="0.25">
      <c r="B8" t="s">
        <v>10</v>
      </c>
      <c r="C8" s="15" t="s">
        <v>36</v>
      </c>
      <c r="F8" s="19">
        <f t="shared" ref="F8:Q8" si="5">CostsLabourIn+CostsOverheadsIn+CostsRawMaterialsIn</f>
        <v>-1200</v>
      </c>
      <c r="G8" s="19">
        <f t="shared" si="5"/>
        <v>-1260</v>
      </c>
      <c r="H8" s="19">
        <f t="shared" si="5"/>
        <v>-1320</v>
      </c>
      <c r="I8" s="19">
        <f t="shared" si="5"/>
        <v>-1380</v>
      </c>
      <c r="J8" s="19">
        <f t="shared" si="5"/>
        <v>-1440</v>
      </c>
      <c r="K8" s="19">
        <f t="shared" si="5"/>
        <v>-1500</v>
      </c>
      <c r="L8" s="19">
        <f t="shared" si="5"/>
        <v>-1560</v>
      </c>
      <c r="M8" s="19">
        <f t="shared" si="5"/>
        <v>-1620</v>
      </c>
      <c r="N8" s="19">
        <f t="shared" si="5"/>
        <v>-1680</v>
      </c>
      <c r="O8" s="19">
        <f t="shared" si="5"/>
        <v>-1740</v>
      </c>
      <c r="P8" s="19">
        <f t="shared" si="5"/>
        <v>-1800</v>
      </c>
      <c r="Q8" s="19">
        <f t="shared" si="5"/>
        <v>-1860</v>
      </c>
      <c r="R8" s="17" t="s">
        <v>40</v>
      </c>
    </row>
    <row r="9" spans="1:18" x14ac:dyDescent="0.25">
      <c r="B9" t="s">
        <v>28</v>
      </c>
      <c r="C9" s="15" t="s">
        <v>36</v>
      </c>
      <c r="F9" s="19">
        <f t="shared" ref="F9:Q9" si="6">CashflowRevenueCa+CashflowCostsCa</f>
        <v>-100</v>
      </c>
      <c r="G9" s="19">
        <f t="shared" si="6"/>
        <v>-49.999999999999773</v>
      </c>
      <c r="H9" s="19">
        <f t="shared" si="6"/>
        <v>0</v>
      </c>
      <c r="I9" s="19">
        <f t="shared" si="6"/>
        <v>50</v>
      </c>
      <c r="J9" s="19">
        <f t="shared" si="6"/>
        <v>100</v>
      </c>
      <c r="K9" s="19">
        <f t="shared" si="6"/>
        <v>150</v>
      </c>
      <c r="L9" s="19">
        <f t="shared" si="6"/>
        <v>200</v>
      </c>
      <c r="M9" s="19">
        <f t="shared" si="6"/>
        <v>250.00000000000023</v>
      </c>
      <c r="N9" s="19">
        <f t="shared" si="6"/>
        <v>300</v>
      </c>
      <c r="O9" s="19">
        <f t="shared" si="6"/>
        <v>350</v>
      </c>
      <c r="P9" s="19">
        <f t="shared" si="6"/>
        <v>400</v>
      </c>
      <c r="Q9" s="19">
        <f t="shared" si="6"/>
        <v>450</v>
      </c>
      <c r="R9" s="17" t="s">
        <v>52</v>
      </c>
    </row>
    <row r="11" spans="1:18" x14ac:dyDescent="0.25">
      <c r="A11" t="s">
        <v>54</v>
      </c>
    </row>
    <row r="12" spans="1:18" x14ac:dyDescent="0.25">
      <c r="B12" t="s">
        <v>55</v>
      </c>
      <c r="C12" s="21" t="s">
        <v>42</v>
      </c>
      <c r="F12" s="19">
        <f t="shared" ref="F12:Q12" ca="1" si="7">MONTH(StartDate)</f>
        <v>2</v>
      </c>
      <c r="G12" s="19">
        <f t="shared" ca="1" si="7"/>
        <v>3</v>
      </c>
      <c r="H12" s="19">
        <f t="shared" ca="1" si="7"/>
        <v>4</v>
      </c>
      <c r="I12" s="19">
        <f t="shared" ca="1" si="7"/>
        <v>5</v>
      </c>
      <c r="J12" s="19">
        <f t="shared" ca="1" si="7"/>
        <v>6</v>
      </c>
      <c r="K12" s="19">
        <f t="shared" ca="1" si="7"/>
        <v>7</v>
      </c>
      <c r="L12" s="19">
        <f t="shared" ca="1" si="7"/>
        <v>8</v>
      </c>
      <c r="M12" s="19">
        <f t="shared" ca="1" si="7"/>
        <v>9</v>
      </c>
      <c r="N12" s="19">
        <f t="shared" ca="1" si="7"/>
        <v>10</v>
      </c>
      <c r="O12" s="19">
        <f t="shared" ca="1" si="7"/>
        <v>11</v>
      </c>
      <c r="P12" s="19">
        <f t="shared" ca="1" si="7"/>
        <v>12</v>
      </c>
      <c r="Q12" s="19">
        <f t="shared" ca="1" si="7"/>
        <v>1</v>
      </c>
      <c r="R12" s="17" t="s">
        <v>56</v>
      </c>
    </row>
    <row r="13" spans="1:18" x14ac:dyDescent="0.25">
      <c r="B13" t="s">
        <v>70</v>
      </c>
      <c r="C13" s="21" t="s">
        <v>42</v>
      </c>
      <c r="F13" s="19" t="str">
        <f t="shared" ref="F13:Q13" ca="1" si="8">VLOOKUP(SeasonMonthNumberCa,tblMonths,2,FALSE)</f>
        <v>February</v>
      </c>
      <c r="G13" s="19" t="str">
        <f t="shared" ca="1" si="8"/>
        <v>March</v>
      </c>
      <c r="H13" s="19" t="str">
        <f t="shared" ca="1" si="8"/>
        <v>April</v>
      </c>
      <c r="I13" s="19" t="str">
        <f t="shared" ca="1" si="8"/>
        <v>May</v>
      </c>
      <c r="J13" s="19" t="str">
        <f t="shared" ca="1" si="8"/>
        <v>June</v>
      </c>
      <c r="K13" s="19" t="str">
        <f t="shared" ca="1" si="8"/>
        <v>July</v>
      </c>
      <c r="L13" s="19" t="str">
        <f t="shared" ca="1" si="8"/>
        <v>August</v>
      </c>
      <c r="M13" s="19" t="str">
        <f t="shared" ca="1" si="8"/>
        <v>September</v>
      </c>
      <c r="N13" s="19" t="str">
        <f t="shared" ca="1" si="8"/>
        <v>October</v>
      </c>
      <c r="O13" s="19" t="str">
        <f t="shared" ca="1" si="8"/>
        <v>November</v>
      </c>
      <c r="P13" s="19" t="str">
        <f t="shared" ca="1" si="8"/>
        <v>December</v>
      </c>
      <c r="Q13" s="19" t="str">
        <f t="shared" ca="1" si="8"/>
        <v>January</v>
      </c>
      <c r="R13" s="18" t="s">
        <v>71</v>
      </c>
    </row>
    <row r="14" spans="1:18" x14ac:dyDescent="0.25">
      <c r="B14" t="s">
        <v>72</v>
      </c>
      <c r="C14" s="21" t="s">
        <v>42</v>
      </c>
      <c r="F14" s="22">
        <f t="shared" ref="F14:Q14" ca="1" si="9">VLOOKUP(SeasonMonthNumberCa,tblMonths,3,FALSE)*CashflowCustomersCa</f>
        <v>240</v>
      </c>
      <c r="G14" s="22">
        <f t="shared" ca="1" si="9"/>
        <v>308</v>
      </c>
      <c r="H14" s="22">
        <f t="shared" ca="1" si="9"/>
        <v>192</v>
      </c>
      <c r="I14" s="22">
        <f t="shared" ca="1" si="9"/>
        <v>208</v>
      </c>
      <c r="J14" s="22">
        <f t="shared" ca="1" si="9"/>
        <v>196</v>
      </c>
      <c r="K14" s="22">
        <f t="shared" ca="1" si="9"/>
        <v>210</v>
      </c>
      <c r="L14" s="22">
        <f t="shared" ca="1" si="9"/>
        <v>224</v>
      </c>
      <c r="M14" s="22">
        <f t="shared" ca="1" si="9"/>
        <v>340.00000000000006</v>
      </c>
      <c r="N14" s="22">
        <f t="shared" ca="1" si="9"/>
        <v>396.00000000000006</v>
      </c>
      <c r="O14" s="22">
        <f t="shared" ca="1" si="9"/>
        <v>456</v>
      </c>
      <c r="P14" s="22">
        <f t="shared" ca="1" si="9"/>
        <v>520</v>
      </c>
      <c r="Q14" s="22">
        <f t="shared" ca="1" si="9"/>
        <v>336</v>
      </c>
      <c r="R14" s="17" t="s">
        <v>73</v>
      </c>
    </row>
    <row r="15" spans="1:18" x14ac:dyDescent="0.25">
      <c r="B15" t="s">
        <v>75</v>
      </c>
      <c r="C15" s="21" t="s">
        <v>42</v>
      </c>
      <c r="F15" s="19">
        <f t="shared" ref="F15:Q15" ca="1" si="10">VLOOKUP(SeasonModifiedCustomersCa,tblStaff,2,TRUE)</f>
        <v>5</v>
      </c>
      <c r="G15" s="19">
        <f t="shared" ca="1" si="10"/>
        <v>6</v>
      </c>
      <c r="H15" s="19">
        <f t="shared" ca="1" si="10"/>
        <v>5</v>
      </c>
      <c r="I15" s="19">
        <f t="shared" ca="1" si="10"/>
        <v>5</v>
      </c>
      <c r="J15" s="19">
        <f t="shared" ca="1" si="10"/>
        <v>5</v>
      </c>
      <c r="K15" s="19">
        <f t="shared" ca="1" si="10"/>
        <v>5</v>
      </c>
      <c r="L15" s="19">
        <f t="shared" ca="1" si="10"/>
        <v>5</v>
      </c>
      <c r="M15" s="19">
        <f t="shared" ca="1" si="10"/>
        <v>6</v>
      </c>
      <c r="N15" s="19">
        <f t="shared" ca="1" si="10"/>
        <v>6</v>
      </c>
      <c r="O15" s="19">
        <f t="shared" ca="1" si="10"/>
        <v>6</v>
      </c>
      <c r="P15" s="19">
        <f t="shared" ca="1" si="10"/>
        <v>6</v>
      </c>
      <c r="Q15" s="19">
        <f t="shared" ca="1" si="10"/>
        <v>6</v>
      </c>
      <c r="R15" s="17" t="s">
        <v>76</v>
      </c>
    </row>
    <row r="17" spans="1:18" x14ac:dyDescent="0.25">
      <c r="A17" t="s">
        <v>77</v>
      </c>
    </row>
    <row r="18" spans="1:18" x14ac:dyDescent="0.25">
      <c r="B18" t="s">
        <v>89</v>
      </c>
      <c r="C18" s="21" t="s">
        <v>42</v>
      </c>
      <c r="F18" s="23" t="b">
        <f t="shared" ref="F18:Q18" ca="1" si="11">SeasonMonthNameCa=PromotionGoldenTicketMonthIn</f>
        <v>0</v>
      </c>
      <c r="G18" s="23" t="b">
        <f t="shared" ca="1" si="11"/>
        <v>0</v>
      </c>
      <c r="H18" s="23" t="b">
        <f t="shared" ca="1" si="11"/>
        <v>0</v>
      </c>
      <c r="I18" s="23" t="b">
        <f t="shared" ca="1" si="11"/>
        <v>0</v>
      </c>
      <c r="J18" s="23" t="b">
        <f t="shared" ca="1" si="11"/>
        <v>0</v>
      </c>
      <c r="K18" s="23" t="b">
        <f t="shared" ca="1" si="11"/>
        <v>1</v>
      </c>
      <c r="L18" s="23" t="b">
        <f t="shared" ca="1" si="11"/>
        <v>0</v>
      </c>
      <c r="M18" s="23" t="b">
        <f t="shared" ca="1" si="11"/>
        <v>0</v>
      </c>
      <c r="N18" s="23" t="b">
        <f t="shared" ca="1" si="11"/>
        <v>0</v>
      </c>
      <c r="O18" s="23" t="b">
        <f t="shared" ca="1" si="11"/>
        <v>0</v>
      </c>
      <c r="P18" s="23" t="b">
        <f t="shared" ca="1" si="11"/>
        <v>0</v>
      </c>
      <c r="Q18" s="23" t="b">
        <f t="shared" ca="1" si="11"/>
        <v>0</v>
      </c>
      <c r="R18" s="17" t="s">
        <v>91</v>
      </c>
    </row>
    <row r="19" spans="1:18" x14ac:dyDescent="0.25">
      <c r="B19" t="s">
        <v>90</v>
      </c>
      <c r="C19" s="21" t="s">
        <v>42</v>
      </c>
      <c r="F19" s="19">
        <f t="shared" ref="F19:Q19" ca="1" si="12">PromotionGoldenTicketCustomersIn*PromotionGTMonth?Ca</f>
        <v>0</v>
      </c>
      <c r="G19" s="19">
        <f t="shared" ca="1" si="12"/>
        <v>0</v>
      </c>
      <c r="H19" s="19">
        <f t="shared" ca="1" si="12"/>
        <v>0</v>
      </c>
      <c r="I19" s="19">
        <f t="shared" ca="1" si="12"/>
        <v>0</v>
      </c>
      <c r="J19" s="19">
        <f t="shared" ca="1" si="12"/>
        <v>0</v>
      </c>
      <c r="K19" s="19">
        <f t="shared" ca="1" si="12"/>
        <v>123</v>
      </c>
      <c r="L19" s="19">
        <f t="shared" ca="1" si="12"/>
        <v>0</v>
      </c>
      <c r="M19" s="19">
        <f t="shared" ca="1" si="12"/>
        <v>0</v>
      </c>
      <c r="N19" s="19">
        <f t="shared" ca="1" si="12"/>
        <v>0</v>
      </c>
      <c r="O19" s="19">
        <f t="shared" ca="1" si="12"/>
        <v>0</v>
      </c>
      <c r="P19" s="19">
        <f t="shared" ca="1" si="12"/>
        <v>0</v>
      </c>
      <c r="Q19" s="19">
        <f t="shared" ca="1" si="12"/>
        <v>0</v>
      </c>
      <c r="R19" s="17" t="s">
        <v>92</v>
      </c>
    </row>
    <row r="21" spans="1:18" x14ac:dyDescent="0.25">
      <c r="B21" t="s">
        <v>93</v>
      </c>
      <c r="C21" s="15" t="s">
        <v>42</v>
      </c>
      <c r="E21" s="19">
        <f ca="1">MATCH(PromotionBOGOFStartMonthIn,SeasonMonthNameCa,0)</f>
        <v>4</v>
      </c>
      <c r="F21" s="17" t="s">
        <v>95</v>
      </c>
    </row>
    <row r="22" spans="1:18" x14ac:dyDescent="0.25">
      <c r="B22" t="s">
        <v>94</v>
      </c>
      <c r="C22" s="15" t="s">
        <v>42</v>
      </c>
      <c r="E22" s="19">
        <f ca="1">MATCH(PromotionBOGOFEndMonthIn,SeasonMonthNameCa,0)</f>
        <v>7</v>
      </c>
      <c r="F22" s="17" t="s">
        <v>96</v>
      </c>
    </row>
    <row r="23" spans="1:18" x14ac:dyDescent="0.25">
      <c r="B23" t="s">
        <v>97</v>
      </c>
      <c r="C23" s="15" t="s">
        <v>42</v>
      </c>
      <c r="F23" s="23" t="b">
        <f t="shared" ref="F23:Q23" ca="1" si="13">AND(Period&gt;=PromotionBOGOFStartMonthPositionCa,Period&lt;=PromotionBOGOFEndMonthPositionCa)</f>
        <v>0</v>
      </c>
      <c r="G23" s="23" t="b">
        <f t="shared" ca="1" si="13"/>
        <v>0</v>
      </c>
      <c r="H23" s="23" t="b">
        <f t="shared" ca="1" si="13"/>
        <v>0</v>
      </c>
      <c r="I23" s="23" t="b">
        <f t="shared" ca="1" si="13"/>
        <v>1</v>
      </c>
      <c r="J23" s="23" t="b">
        <f t="shared" ca="1" si="13"/>
        <v>1</v>
      </c>
      <c r="K23" s="23" t="b">
        <f t="shared" ca="1" si="13"/>
        <v>1</v>
      </c>
      <c r="L23" s="23" t="b">
        <f t="shared" ca="1" si="13"/>
        <v>1</v>
      </c>
      <c r="M23" s="23" t="b">
        <f t="shared" ca="1" si="13"/>
        <v>0</v>
      </c>
      <c r="N23" s="23" t="b">
        <f t="shared" ca="1" si="13"/>
        <v>0</v>
      </c>
      <c r="O23" s="23" t="b">
        <f t="shared" ca="1" si="13"/>
        <v>0</v>
      </c>
      <c r="P23" s="23" t="b">
        <f t="shared" ca="1" si="13"/>
        <v>0</v>
      </c>
      <c r="Q23" s="23" t="b">
        <f t="shared" ca="1" si="13"/>
        <v>0</v>
      </c>
      <c r="R23" s="17" t="s">
        <v>98</v>
      </c>
    </row>
    <row r="24" spans="1:18" x14ac:dyDescent="0.25">
      <c r="B24" t="s">
        <v>99</v>
      </c>
      <c r="C24" s="15" t="s">
        <v>42</v>
      </c>
      <c r="F24" s="19">
        <f t="shared" ref="F24:Q24" ca="1" si="14">PromotionBOGOFCustomersIn*PromotionBOGOFMonth?Ca</f>
        <v>0</v>
      </c>
      <c r="G24" s="19">
        <f t="shared" ca="1" si="14"/>
        <v>0</v>
      </c>
      <c r="H24" s="19">
        <f t="shared" ca="1" si="14"/>
        <v>0</v>
      </c>
      <c r="I24" s="19">
        <f t="shared" ca="1" si="14"/>
        <v>50</v>
      </c>
      <c r="J24" s="19">
        <f t="shared" ca="1" si="14"/>
        <v>50</v>
      </c>
      <c r="K24" s="19">
        <f t="shared" ca="1" si="14"/>
        <v>50</v>
      </c>
      <c r="L24" s="19">
        <f t="shared" ca="1" si="14"/>
        <v>50</v>
      </c>
      <c r="M24" s="19">
        <f t="shared" ca="1" si="14"/>
        <v>0</v>
      </c>
      <c r="N24" s="19">
        <f t="shared" ca="1" si="14"/>
        <v>0</v>
      </c>
      <c r="O24" s="19">
        <f t="shared" ca="1" si="14"/>
        <v>0</v>
      </c>
      <c r="P24" s="19">
        <f t="shared" ca="1" si="14"/>
        <v>0</v>
      </c>
      <c r="Q24" s="19">
        <f t="shared" ca="1" si="14"/>
        <v>0</v>
      </c>
      <c r="R24" s="17" t="s">
        <v>100</v>
      </c>
    </row>
    <row r="26" spans="1:18" x14ac:dyDescent="0.25">
      <c r="A26" t="s">
        <v>101</v>
      </c>
    </row>
    <row r="27" spans="1:18" x14ac:dyDescent="0.25">
      <c r="B27" t="s">
        <v>108</v>
      </c>
      <c r="C27" s="15" t="s">
        <v>110</v>
      </c>
      <c r="E27" s="19">
        <f ca="1">MATCH(IncentiveMonth1In,SeasonMonthNameCa,0)</f>
        <v>2</v>
      </c>
      <c r="F27" s="17" t="s">
        <v>111</v>
      </c>
    </row>
    <row r="28" spans="1:18" x14ac:dyDescent="0.25">
      <c r="B28" t="s">
        <v>109</v>
      </c>
      <c r="C28" s="15" t="s">
        <v>110</v>
      </c>
      <c r="E28" s="19">
        <f ca="1">MATCH(IncentiveMonth2In,SeasonMonthNameCa,0)</f>
        <v>8</v>
      </c>
      <c r="F28" s="17" t="s">
        <v>112</v>
      </c>
    </row>
    <row r="29" spans="1:18" x14ac:dyDescent="0.25">
      <c r="B29" t="s">
        <v>113</v>
      </c>
      <c r="C29" s="15" t="s">
        <v>110</v>
      </c>
      <c r="F29" s="23" t="b">
        <f t="shared" ref="F29:Q29" ca="1" si="15">OR(Period=IncentiveMonth1PositionCa,Period=IncentiveMonth2PositionCa)</f>
        <v>0</v>
      </c>
      <c r="G29" s="23" t="b">
        <f t="shared" ca="1" si="15"/>
        <v>1</v>
      </c>
      <c r="H29" s="23" t="b">
        <f t="shared" ca="1" si="15"/>
        <v>0</v>
      </c>
      <c r="I29" s="23" t="b">
        <f t="shared" ca="1" si="15"/>
        <v>0</v>
      </c>
      <c r="J29" s="23" t="b">
        <f t="shared" ca="1" si="15"/>
        <v>0</v>
      </c>
      <c r="K29" s="23" t="b">
        <f t="shared" ca="1" si="15"/>
        <v>0</v>
      </c>
      <c r="L29" s="23" t="b">
        <f t="shared" ca="1" si="15"/>
        <v>0</v>
      </c>
      <c r="M29" s="23" t="b">
        <f t="shared" ca="1" si="15"/>
        <v>1</v>
      </c>
      <c r="N29" s="23" t="b">
        <f t="shared" ca="1" si="15"/>
        <v>0</v>
      </c>
      <c r="O29" s="23" t="b">
        <f t="shared" ca="1" si="15"/>
        <v>0</v>
      </c>
      <c r="P29" s="23" t="b">
        <f t="shared" ca="1" si="15"/>
        <v>0</v>
      </c>
      <c r="Q29" s="23" t="b">
        <f t="shared" ca="1" si="15"/>
        <v>0</v>
      </c>
      <c r="R29" s="17" t="s">
        <v>114</v>
      </c>
    </row>
    <row r="30" spans="1:18" x14ac:dyDescent="0.25">
      <c r="B30" t="s">
        <v>115</v>
      </c>
      <c r="C30" s="21" t="s">
        <v>36</v>
      </c>
      <c r="F30" s="19">
        <f t="shared" ref="F30:Q30" ca="1" si="16">IncentiveCostIn*IncentiveMonth?Ca</f>
        <v>0</v>
      </c>
      <c r="G30" s="19">
        <f t="shared" ca="1" si="16"/>
        <v>-100</v>
      </c>
      <c r="H30" s="19">
        <f t="shared" ca="1" si="16"/>
        <v>0</v>
      </c>
      <c r="I30" s="19">
        <f t="shared" ca="1" si="16"/>
        <v>0</v>
      </c>
      <c r="J30" s="19">
        <f t="shared" ca="1" si="16"/>
        <v>0</v>
      </c>
      <c r="K30" s="19">
        <f t="shared" ca="1" si="16"/>
        <v>0</v>
      </c>
      <c r="L30" s="19">
        <f t="shared" ca="1" si="16"/>
        <v>0</v>
      </c>
      <c r="M30" s="19">
        <f t="shared" ca="1" si="16"/>
        <v>-100</v>
      </c>
      <c r="N30" s="19">
        <f t="shared" ca="1" si="16"/>
        <v>0</v>
      </c>
      <c r="O30" s="19">
        <f t="shared" ca="1" si="16"/>
        <v>0</v>
      </c>
      <c r="P30" s="19">
        <f t="shared" ca="1" si="16"/>
        <v>0</v>
      </c>
      <c r="Q30" s="19">
        <f t="shared" ca="1" si="16"/>
        <v>0</v>
      </c>
      <c r="R30" s="17" t="s">
        <v>116</v>
      </c>
    </row>
    <row r="32" spans="1:18" x14ac:dyDescent="0.25">
      <c r="A32" t="s">
        <v>26</v>
      </c>
    </row>
    <row r="33" spans="1:18" x14ac:dyDescent="0.25">
      <c r="B33" t="s">
        <v>131</v>
      </c>
      <c r="C33" s="15" t="s">
        <v>36</v>
      </c>
      <c r="F33" s="19">
        <f>E37</f>
        <v>100</v>
      </c>
      <c r="G33" s="22">
        <f t="shared" ref="G33:Q33" si="17">F37</f>
        <v>0.24662697723036331</v>
      </c>
      <c r="H33" s="19">
        <f t="shared" si="17"/>
        <v>-49.752764774110432</v>
      </c>
      <c r="I33" s="19">
        <f t="shared" si="17"/>
        <v>-49.994938872414032</v>
      </c>
      <c r="J33" s="19">
        <f t="shared" si="17"/>
        <v>-0.23829176538674091</v>
      </c>
      <c r="K33" s="19">
        <f t="shared" si="17"/>
        <v>99.760548337395932</v>
      </c>
      <c r="L33" s="19">
        <f t="shared" si="17"/>
        <v>250.0065847622289</v>
      </c>
      <c r="M33" s="19">
        <f t="shared" si="17"/>
        <v>450.62316844510485</v>
      </c>
      <c r="N33" s="19">
        <f t="shared" si="17"/>
        <v>701.73452674414102</v>
      </c>
      <c r="O33" s="19">
        <f t="shared" si="17"/>
        <v>1003.4651933956319</v>
      </c>
      <c r="P33" s="19">
        <f t="shared" si="17"/>
        <v>1355.9400092696624</v>
      </c>
      <c r="Q33" s="19">
        <f t="shared" si="17"/>
        <v>1759.2841231275813</v>
      </c>
      <c r="R33" s="17" t="s">
        <v>141</v>
      </c>
    </row>
    <row r="34" spans="1:18" x14ac:dyDescent="0.25">
      <c r="B34" t="s">
        <v>137</v>
      </c>
      <c r="C34" s="15" t="s">
        <v>36</v>
      </c>
      <c r="F34" s="27">
        <f t="shared" ref="F34:Q34" si="18">InterestPositiveBalanceCa*InterestMonthlyDepositRateCa</f>
        <v>0.24662697723036864</v>
      </c>
      <c r="G34" s="27">
        <f t="shared" si="18"/>
        <v>6.0824865897787458E-4</v>
      </c>
      <c r="H34" s="27">
        <f t="shared" si="18"/>
        <v>0</v>
      </c>
      <c r="I34" s="27">
        <f t="shared" si="18"/>
        <v>0</v>
      </c>
      <c r="J34" s="27">
        <f t="shared" si="18"/>
        <v>0</v>
      </c>
      <c r="K34" s="27">
        <f t="shared" si="18"/>
        <v>0.24603642483296037</v>
      </c>
      <c r="L34" s="27">
        <f t="shared" si="18"/>
        <v>0.61658368287596454</v>
      </c>
      <c r="M34" s="27">
        <f t="shared" si="18"/>
        <v>1.1113582990358744</v>
      </c>
      <c r="N34" s="27">
        <f t="shared" si="18"/>
        <v>1.7306666514909077</v>
      </c>
      <c r="O34" s="27">
        <f t="shared" si="18"/>
        <v>2.4748158740305195</v>
      </c>
      <c r="P34" s="27">
        <f t="shared" si="18"/>
        <v>3.3441138579189484</v>
      </c>
      <c r="Q34" s="27">
        <f t="shared" si="18"/>
        <v>4.3388692537633506</v>
      </c>
      <c r="R34" s="17" t="s">
        <v>149</v>
      </c>
    </row>
    <row r="35" spans="1:18" x14ac:dyDescent="0.25">
      <c r="B35" t="s">
        <v>138</v>
      </c>
      <c r="C35" s="15" t="s">
        <v>36</v>
      </c>
      <c r="F35" s="19">
        <f t="shared" ref="F35:Q35" si="19">InterestNegativeBalanceCa*InterestMonthlyLoanRateCa</f>
        <v>0</v>
      </c>
      <c r="G35" s="19">
        <f t="shared" si="19"/>
        <v>0</v>
      </c>
      <c r="H35" s="19">
        <f t="shared" si="19"/>
        <v>-0.24217409830360093</v>
      </c>
      <c r="I35" s="19">
        <f t="shared" si="19"/>
        <v>-0.24335289297271007</v>
      </c>
      <c r="J35" s="19">
        <f t="shared" si="19"/>
        <v>-1.1598972173248237E-3</v>
      </c>
      <c r="K35" s="19">
        <f t="shared" si="19"/>
        <v>0</v>
      </c>
      <c r="L35" s="19">
        <f t="shared" si="19"/>
        <v>0</v>
      </c>
      <c r="M35" s="19">
        <f t="shared" si="19"/>
        <v>0</v>
      </c>
      <c r="N35" s="19">
        <f t="shared" si="19"/>
        <v>0</v>
      </c>
      <c r="O35" s="19">
        <f t="shared" si="19"/>
        <v>0</v>
      </c>
      <c r="P35" s="19">
        <f t="shared" si="19"/>
        <v>0</v>
      </c>
      <c r="Q35" s="19">
        <f t="shared" si="19"/>
        <v>0</v>
      </c>
    </row>
    <row r="36" spans="1:18" x14ac:dyDescent="0.25">
      <c r="B36" t="s">
        <v>139</v>
      </c>
      <c r="C36" s="15" t="s">
        <v>36</v>
      </c>
      <c r="F36" s="19">
        <f t="shared" ref="F36:Q36" si="20">CashflowNetCa</f>
        <v>-100</v>
      </c>
      <c r="G36" s="19">
        <f t="shared" si="20"/>
        <v>-49.999999999999773</v>
      </c>
      <c r="H36" s="19">
        <f t="shared" si="20"/>
        <v>0</v>
      </c>
      <c r="I36" s="19">
        <f t="shared" si="20"/>
        <v>50</v>
      </c>
      <c r="J36" s="19">
        <f t="shared" si="20"/>
        <v>100</v>
      </c>
      <c r="K36" s="19">
        <f t="shared" si="20"/>
        <v>150</v>
      </c>
      <c r="L36" s="19">
        <f t="shared" si="20"/>
        <v>200</v>
      </c>
      <c r="M36" s="19">
        <f t="shared" si="20"/>
        <v>250.00000000000023</v>
      </c>
      <c r="N36" s="19">
        <f t="shared" si="20"/>
        <v>300</v>
      </c>
      <c r="O36" s="19">
        <f t="shared" si="20"/>
        <v>350</v>
      </c>
      <c r="P36" s="19">
        <f t="shared" si="20"/>
        <v>400</v>
      </c>
      <c r="Q36" s="19">
        <f t="shared" si="20"/>
        <v>450</v>
      </c>
      <c r="R36" s="17" t="s">
        <v>142</v>
      </c>
    </row>
    <row r="37" spans="1:18" x14ac:dyDescent="0.25">
      <c r="B37" t="s">
        <v>140</v>
      </c>
      <c r="C37" s="15" t="s">
        <v>36</v>
      </c>
      <c r="E37">
        <f>CashflowOpeningBalanceIn</f>
        <v>100</v>
      </c>
      <c r="F37" s="19">
        <f>SUM(F33:F36)</f>
        <v>0.24662697723036331</v>
      </c>
      <c r="G37" s="19">
        <f t="shared" ref="G37:Q37" si="21">SUM(G33:G36)</f>
        <v>-49.752764774110432</v>
      </c>
      <c r="H37" s="19">
        <f t="shared" si="21"/>
        <v>-49.994938872414032</v>
      </c>
      <c r="I37" s="19">
        <f t="shared" si="21"/>
        <v>-0.23829176538674091</v>
      </c>
      <c r="J37" s="19">
        <f t="shared" si="21"/>
        <v>99.760548337395932</v>
      </c>
      <c r="K37" s="19">
        <f t="shared" si="21"/>
        <v>250.0065847622289</v>
      </c>
      <c r="L37" s="19">
        <f t="shared" si="21"/>
        <v>450.62316844510485</v>
      </c>
      <c r="M37" s="19">
        <f t="shared" si="21"/>
        <v>701.73452674414102</v>
      </c>
      <c r="N37" s="19">
        <f t="shared" si="21"/>
        <v>1003.4651933956319</v>
      </c>
      <c r="O37" s="19">
        <f t="shared" si="21"/>
        <v>1355.9400092696624</v>
      </c>
      <c r="P37" s="19">
        <f t="shared" si="21"/>
        <v>1759.2841231275813</v>
      </c>
      <c r="Q37" s="19">
        <f t="shared" si="21"/>
        <v>2213.6229923813444</v>
      </c>
      <c r="R37" s="17" t="s">
        <v>143</v>
      </c>
    </row>
    <row r="39" spans="1:18" x14ac:dyDescent="0.25">
      <c r="A39" t="s">
        <v>144</v>
      </c>
    </row>
    <row r="40" spans="1:18" x14ac:dyDescent="0.25">
      <c r="B40" t="s">
        <v>145</v>
      </c>
      <c r="C40" s="21" t="s">
        <v>36</v>
      </c>
      <c r="F40" s="19">
        <f t="shared" ref="F40:Q40" si="22">MAX(0,+CashflowOpeningBalanceCa)</f>
        <v>100</v>
      </c>
      <c r="G40" s="19">
        <f t="shared" si="22"/>
        <v>0.24662697723036331</v>
      </c>
      <c r="H40" s="19">
        <f t="shared" si="22"/>
        <v>0</v>
      </c>
      <c r="I40" s="19">
        <f t="shared" si="22"/>
        <v>0</v>
      </c>
      <c r="J40" s="19">
        <f t="shared" si="22"/>
        <v>0</v>
      </c>
      <c r="K40" s="19">
        <f t="shared" si="22"/>
        <v>99.760548337395932</v>
      </c>
      <c r="L40" s="19">
        <f t="shared" si="22"/>
        <v>250.0065847622289</v>
      </c>
      <c r="M40" s="19">
        <f t="shared" si="22"/>
        <v>450.62316844510485</v>
      </c>
      <c r="N40" s="19">
        <f t="shared" si="22"/>
        <v>701.73452674414102</v>
      </c>
      <c r="O40" s="19">
        <f t="shared" si="22"/>
        <v>1003.4651933956319</v>
      </c>
      <c r="P40" s="19">
        <f t="shared" si="22"/>
        <v>1355.9400092696624</v>
      </c>
      <c r="Q40" s="19">
        <f t="shared" si="22"/>
        <v>1759.2841231275813</v>
      </c>
      <c r="R40" s="17" t="s">
        <v>146</v>
      </c>
    </row>
    <row r="41" spans="1:18" x14ac:dyDescent="0.25">
      <c r="B41" t="s">
        <v>147</v>
      </c>
      <c r="C41" s="21" t="s">
        <v>47</v>
      </c>
      <c r="E41" s="26">
        <f>(1+CashflowDepositRateIn)^(1/12)-1</f>
        <v>2.4662697723036864E-3</v>
      </c>
      <c r="F41" s="17" t="s">
        <v>148</v>
      </c>
    </row>
    <row r="43" spans="1:18" x14ac:dyDescent="0.25">
      <c r="B43" t="s">
        <v>150</v>
      </c>
      <c r="C43" s="15" t="s">
        <v>36</v>
      </c>
      <c r="F43" s="19">
        <f t="shared" ref="F43:Q43" si="23">MIN(0,+CashflowOpeningBalanceCa)</f>
        <v>0</v>
      </c>
      <c r="G43" s="19">
        <f t="shared" si="23"/>
        <v>0</v>
      </c>
      <c r="H43" s="19">
        <f t="shared" si="23"/>
        <v>-49.752764774110432</v>
      </c>
      <c r="I43" s="19">
        <f t="shared" si="23"/>
        <v>-49.994938872414032</v>
      </c>
      <c r="J43" s="19">
        <f t="shared" si="23"/>
        <v>-0.23829176538674091</v>
      </c>
      <c r="K43" s="19">
        <f t="shared" si="23"/>
        <v>0</v>
      </c>
      <c r="L43" s="19">
        <f t="shared" si="23"/>
        <v>0</v>
      </c>
      <c r="M43" s="19">
        <f t="shared" si="23"/>
        <v>0</v>
      </c>
      <c r="N43" s="19">
        <f t="shared" si="23"/>
        <v>0</v>
      </c>
      <c r="O43" s="19">
        <f t="shared" si="23"/>
        <v>0</v>
      </c>
      <c r="P43" s="19">
        <f t="shared" si="23"/>
        <v>0</v>
      </c>
      <c r="Q43" s="19">
        <f t="shared" si="23"/>
        <v>0</v>
      </c>
      <c r="R43" s="17" t="s">
        <v>151</v>
      </c>
    </row>
    <row r="44" spans="1:18" x14ac:dyDescent="0.25">
      <c r="B44" t="s">
        <v>152</v>
      </c>
      <c r="C44" s="21" t="s">
        <v>47</v>
      </c>
      <c r="E44" s="26">
        <f>(1+CashflowLoanRateIn)^(1/12)-1</f>
        <v>4.8675505653430484E-3</v>
      </c>
      <c r="F44" s="17" t="s">
        <v>153</v>
      </c>
    </row>
  </sheetData>
  <mergeCells count="1">
    <mergeCell ref="A1:B1"/>
  </mergeCells>
  <conditionalFormatting sqref="F9:Q9">
    <cfRule type="iconSet" priority="1">
      <iconSet iconSet="3Arrows">
        <cfvo type="percent" val="0"/>
        <cfvo type="num" val="0"/>
        <cfvo type="num" val="400"/>
      </iconSet>
    </cfRule>
    <cfRule type="cellIs" dxfId="1" priority="2" operator="greaterThan">
      <formula>250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/>
  </sheetViews>
  <sheetFormatPr defaultRowHeight="15" x14ac:dyDescent="0.25"/>
  <cols>
    <col min="1" max="1" width="5.5703125" customWidth="1"/>
    <col min="2" max="2" width="19.7109375" customWidth="1"/>
    <col min="3" max="3" width="3.42578125" customWidth="1"/>
    <col min="4" max="4" width="28.7109375" bestFit="1" customWidth="1"/>
    <col min="5" max="5" width="17.85546875" bestFit="1" customWidth="1"/>
  </cols>
  <sheetData>
    <row r="1" spans="1:5" x14ac:dyDescent="0.25">
      <c r="A1" t="s">
        <v>117</v>
      </c>
    </row>
    <row r="2" spans="1:5" x14ac:dyDescent="0.25">
      <c r="B2" t="s">
        <v>118</v>
      </c>
      <c r="D2" s="25" t="s">
        <v>27</v>
      </c>
      <c r="E2" s="17" t="s">
        <v>121</v>
      </c>
    </row>
    <row r="3" spans="1:5" x14ac:dyDescent="0.25">
      <c r="B3" t="s">
        <v>119</v>
      </c>
      <c r="D3" s="24" t="s">
        <v>59</v>
      </c>
      <c r="E3" s="17" t="s">
        <v>122</v>
      </c>
    </row>
    <row r="5" spans="1:5" x14ac:dyDescent="0.25">
      <c r="B5" t="s">
        <v>123</v>
      </c>
      <c r="D5" s="25">
        <f>MATCH(MetricLineItem,lstActualLineItems,0)</f>
        <v>2</v>
      </c>
      <c r="E5" s="17" t="s">
        <v>126</v>
      </c>
    </row>
    <row r="6" spans="1:5" x14ac:dyDescent="0.25">
      <c r="B6" t="s">
        <v>124</v>
      </c>
      <c r="D6" s="25">
        <f ca="1">MATCH(MetricMonth,SeasonMonthNameCa,0)</f>
        <v>1</v>
      </c>
      <c r="E6" s="17" t="s">
        <v>125</v>
      </c>
    </row>
    <row r="8" spans="1:5" x14ac:dyDescent="0.25">
      <c r="B8" t="s">
        <v>127</v>
      </c>
      <c r="D8" s="25">
        <f ca="1">INDEX(tblAllCalcs,MetricLineItemPosition,MetricMonthPosition)</f>
        <v>1100</v>
      </c>
    </row>
    <row r="9" spans="1:5" x14ac:dyDescent="0.25">
      <c r="B9" t="s">
        <v>128</v>
      </c>
      <c r="D9" s="25">
        <f ca="1">OFFSET(rngStartOfCalcs,MetricLineItemPosition,MetricMonthPosition)</f>
        <v>1100</v>
      </c>
    </row>
    <row r="11" spans="1:5" x14ac:dyDescent="0.25">
      <c r="B11" t="s">
        <v>129</v>
      </c>
      <c r="D11" s="25">
        <v>3</v>
      </c>
    </row>
    <row r="12" spans="1:5" x14ac:dyDescent="0.25">
      <c r="B12" t="s">
        <v>130</v>
      </c>
      <c r="D12">
        <f ca="1">SUM(OFFSET(rngStartOfCalcs,MetricLineItemPosition,MetricMonthPosition,1,D11))</f>
        <v>3630</v>
      </c>
    </row>
  </sheetData>
  <dataValidations count="2">
    <dataValidation type="list" allowBlank="1" showInputMessage="1" showErrorMessage="1" sqref="D3">
      <formula1>lstMonths</formula1>
    </dataValidation>
    <dataValidation type="list" allowBlank="1" showInputMessage="1" showErrorMessage="1" sqref="D2">
      <formula1>lstLineItems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workbookViewId="0"/>
  </sheetViews>
  <sheetFormatPr defaultRowHeight="15" x14ac:dyDescent="0.25"/>
  <cols>
    <col min="1" max="1" width="20.140625" bestFit="1" customWidth="1"/>
    <col min="5" max="5" width="10.28515625" customWidth="1"/>
    <col min="12" max="12" width="24" customWidth="1"/>
  </cols>
  <sheetData>
    <row r="1" spans="1:12" x14ac:dyDescent="0.25">
      <c r="A1" s="17" t="s">
        <v>53</v>
      </c>
      <c r="C1" s="17" t="s">
        <v>57</v>
      </c>
      <c r="E1" s="17" t="s">
        <v>80</v>
      </c>
      <c r="H1" s="17" t="s">
        <v>74</v>
      </c>
      <c r="L1" s="17" t="s">
        <v>120</v>
      </c>
    </row>
    <row r="2" spans="1:12" x14ac:dyDescent="0.25">
      <c r="A2">
        <v>50</v>
      </c>
      <c r="D2">
        <v>1</v>
      </c>
      <c r="E2" t="s">
        <v>58</v>
      </c>
      <c r="F2">
        <v>0.8</v>
      </c>
      <c r="I2">
        <v>0</v>
      </c>
      <c r="J2">
        <v>1</v>
      </c>
      <c r="L2" t="s">
        <v>49</v>
      </c>
    </row>
    <row r="3" spans="1:12" x14ac:dyDescent="0.25">
      <c r="A3">
        <v>100</v>
      </c>
      <c r="D3">
        <v>2</v>
      </c>
      <c r="E3" t="s">
        <v>59</v>
      </c>
      <c r="F3">
        <v>1.2</v>
      </c>
      <c r="I3">
        <v>51</v>
      </c>
      <c r="J3">
        <v>2</v>
      </c>
      <c r="L3" t="s">
        <v>27</v>
      </c>
    </row>
    <row r="4" spans="1:12" x14ac:dyDescent="0.25">
      <c r="A4">
        <v>150</v>
      </c>
      <c r="D4">
        <v>3</v>
      </c>
      <c r="E4" t="s">
        <v>60</v>
      </c>
      <c r="F4">
        <v>1.4</v>
      </c>
      <c r="I4">
        <v>101</v>
      </c>
      <c r="J4">
        <v>3</v>
      </c>
      <c r="L4" t="s">
        <v>10</v>
      </c>
    </row>
    <row r="5" spans="1:12" x14ac:dyDescent="0.25">
      <c r="A5">
        <v>200</v>
      </c>
      <c r="D5">
        <v>4</v>
      </c>
      <c r="E5" t="s">
        <v>61</v>
      </c>
      <c r="F5">
        <v>0.8</v>
      </c>
      <c r="I5">
        <v>126</v>
      </c>
      <c r="J5">
        <v>4</v>
      </c>
      <c r="L5" t="s">
        <v>28</v>
      </c>
    </row>
    <row r="6" spans="1:12" x14ac:dyDescent="0.25">
      <c r="A6">
        <v>250</v>
      </c>
      <c r="D6">
        <v>5</v>
      </c>
      <c r="E6" t="s">
        <v>62</v>
      </c>
      <c r="F6">
        <v>0.8</v>
      </c>
      <c r="I6">
        <v>176</v>
      </c>
      <c r="J6">
        <v>5</v>
      </c>
      <c r="L6" t="s">
        <v>55</v>
      </c>
    </row>
    <row r="7" spans="1:12" x14ac:dyDescent="0.25">
      <c r="A7">
        <v>300</v>
      </c>
      <c r="D7">
        <v>6</v>
      </c>
      <c r="E7" t="s">
        <v>63</v>
      </c>
      <c r="F7">
        <v>0.7</v>
      </c>
      <c r="I7">
        <v>251</v>
      </c>
      <c r="J7">
        <v>6</v>
      </c>
      <c r="L7" t="s">
        <v>70</v>
      </c>
    </row>
    <row r="8" spans="1:12" x14ac:dyDescent="0.25">
      <c r="A8">
        <v>350</v>
      </c>
      <c r="D8">
        <v>7</v>
      </c>
      <c r="E8" t="s">
        <v>64</v>
      </c>
      <c r="F8">
        <v>0.7</v>
      </c>
      <c r="L8" t="s">
        <v>72</v>
      </c>
    </row>
    <row r="9" spans="1:12" x14ac:dyDescent="0.25">
      <c r="A9">
        <v>400</v>
      </c>
      <c r="D9">
        <v>8</v>
      </c>
      <c r="E9" t="s">
        <v>65</v>
      </c>
      <c r="F9">
        <v>0.7</v>
      </c>
      <c r="L9" t="s">
        <v>75</v>
      </c>
    </row>
    <row r="10" spans="1:12" x14ac:dyDescent="0.25">
      <c r="A10">
        <v>450</v>
      </c>
      <c r="D10">
        <v>9</v>
      </c>
      <c r="E10" t="s">
        <v>66</v>
      </c>
      <c r="F10">
        <v>1</v>
      </c>
      <c r="L10" t="s">
        <v>89</v>
      </c>
    </row>
    <row r="11" spans="1:12" x14ac:dyDescent="0.25">
      <c r="A11">
        <v>500</v>
      </c>
      <c r="D11">
        <v>10</v>
      </c>
      <c r="E11" t="s">
        <v>67</v>
      </c>
      <c r="F11">
        <v>1.1000000000000001</v>
      </c>
      <c r="L11" t="s">
        <v>90</v>
      </c>
    </row>
    <row r="12" spans="1:12" x14ac:dyDescent="0.25">
      <c r="D12">
        <v>11</v>
      </c>
      <c r="E12" t="s">
        <v>68</v>
      </c>
      <c r="F12">
        <v>1.2</v>
      </c>
      <c r="L12" t="s">
        <v>97</v>
      </c>
    </row>
    <row r="13" spans="1:12" x14ac:dyDescent="0.25">
      <c r="D13">
        <v>12</v>
      </c>
      <c r="E13" t="s">
        <v>69</v>
      </c>
      <c r="F13">
        <v>1.3</v>
      </c>
      <c r="L13" t="s">
        <v>99</v>
      </c>
    </row>
    <row r="14" spans="1:12" x14ac:dyDescent="0.25">
      <c r="L14" t="s">
        <v>113</v>
      </c>
    </row>
    <row r="15" spans="1:12" x14ac:dyDescent="0.25">
      <c r="L15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66</vt:i4>
      </vt:variant>
    </vt:vector>
  </HeadingPairs>
  <TitlesOfParts>
    <vt:vector size="72" baseType="lpstr">
      <vt:lpstr>CoverSheet</vt:lpstr>
      <vt:lpstr>Reality check</vt:lpstr>
      <vt:lpstr>Inputs</vt:lpstr>
      <vt:lpstr>Calculations</vt:lpstr>
      <vt:lpstr>Metrics</vt:lpstr>
      <vt:lpstr>Lists</vt:lpstr>
      <vt:lpstr>CashflowClosingBalanceca</vt:lpstr>
      <vt:lpstr>CashflowCostsCa</vt:lpstr>
      <vt:lpstr>CashflowCustomersCa</vt:lpstr>
      <vt:lpstr>CashflowDepositInterestCa</vt:lpstr>
      <vt:lpstr>CashflowDepositRateIn</vt:lpstr>
      <vt:lpstr>CashflowLoanRateIn</vt:lpstr>
      <vt:lpstr>CashflowMoneyInOutCa</vt:lpstr>
      <vt:lpstr>CashflowNetCa</vt:lpstr>
      <vt:lpstr>CashflowOpeningBalanceCa</vt:lpstr>
      <vt:lpstr>CashflowOpeningBalanceIn</vt:lpstr>
      <vt:lpstr>CashflowRevenueCa</vt:lpstr>
      <vt:lpstr>CostsLabourIn</vt:lpstr>
      <vt:lpstr>CostsOverheadsIn</vt:lpstr>
      <vt:lpstr>CostsRawMaterialsIn</vt:lpstr>
      <vt:lpstr>CoverStartDate</vt:lpstr>
      <vt:lpstr>CoverStatus</vt:lpstr>
      <vt:lpstr>CoverTitle</vt:lpstr>
      <vt:lpstr>CoverVersionNumber</vt:lpstr>
      <vt:lpstr>EndDate</vt:lpstr>
      <vt:lpstr>EndDateIn</vt:lpstr>
      <vt:lpstr>IncentiveActualCostCa</vt:lpstr>
      <vt:lpstr>IncentiveCostIn</vt:lpstr>
      <vt:lpstr>IncentiveMonth?Ca</vt:lpstr>
      <vt:lpstr>IncentiveMonth1In</vt:lpstr>
      <vt:lpstr>IncentiveMonth1PositionCa</vt:lpstr>
      <vt:lpstr>IncentiveMonth2In</vt:lpstr>
      <vt:lpstr>IncentiveMonth2PositionCa</vt:lpstr>
      <vt:lpstr>InterestMonthlyDepositRateCa</vt:lpstr>
      <vt:lpstr>InterestMonthlyLoanRateCa</vt:lpstr>
      <vt:lpstr>InterestNegativeBalanceCa</vt:lpstr>
      <vt:lpstr>InterestPositiveBalanceCa</vt:lpstr>
      <vt:lpstr>lstActualLineItems</vt:lpstr>
      <vt:lpstr>lstCustomerNumbers</vt:lpstr>
      <vt:lpstr>lstLineItems</vt:lpstr>
      <vt:lpstr>lstMonths</vt:lpstr>
      <vt:lpstr>lstNonContig</vt:lpstr>
      <vt:lpstr>MetricLineItem</vt:lpstr>
      <vt:lpstr>MetricLineItemPosition</vt:lpstr>
      <vt:lpstr>MetricMonth</vt:lpstr>
      <vt:lpstr>MetricMonthPosition</vt:lpstr>
      <vt:lpstr>Period</vt:lpstr>
      <vt:lpstr>PeriodIn</vt:lpstr>
      <vt:lpstr>PromotionBOGOFActualCustomersCa</vt:lpstr>
      <vt:lpstr>PromotionBOGOFCustomersIn</vt:lpstr>
      <vt:lpstr>PromotionBOGOFEndMonthIn</vt:lpstr>
      <vt:lpstr>PromotionBOGOFEndMonthPositionCa</vt:lpstr>
      <vt:lpstr>PromotionBOGOFMonth?Ca</vt:lpstr>
      <vt:lpstr>PromotionBOGOFStartMonthIn</vt:lpstr>
      <vt:lpstr>PromotionBOGOFStartMonthPositionCa</vt:lpstr>
      <vt:lpstr>PromotionGoldenTicketCustomersIn</vt:lpstr>
      <vt:lpstr>PromotionGoldenTicketMonthIn</vt:lpstr>
      <vt:lpstr>PromotionGTActualCustomersCa</vt:lpstr>
      <vt:lpstr>PromotionGTMonth?Ca</vt:lpstr>
      <vt:lpstr>RevenueCustomerMultiplierIn</vt:lpstr>
      <vt:lpstr>RevenueCustomerSpendIn</vt:lpstr>
      <vt:lpstr>RevenueInitialCustomersIn</vt:lpstr>
      <vt:lpstr>rngStartOfCalcs</vt:lpstr>
      <vt:lpstr>SeasonModifiedCustomersCa</vt:lpstr>
      <vt:lpstr>SeasonMonthNameCa</vt:lpstr>
      <vt:lpstr>SeasonMonthNumberCa</vt:lpstr>
      <vt:lpstr>SeasonNumberOfStaffCa</vt:lpstr>
      <vt:lpstr>StartDate</vt:lpstr>
      <vt:lpstr>StartDateIn</vt:lpstr>
      <vt:lpstr>tblAllCalcs</vt:lpstr>
      <vt:lpstr>tblMonths</vt:lpstr>
      <vt:lpstr>tblStaff</vt:lpstr>
    </vt:vector>
  </TitlesOfParts>
  <Company>Wise Owl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</dc:creator>
  <cp:lastModifiedBy>Andrew.Gould</cp:lastModifiedBy>
  <dcterms:created xsi:type="dcterms:W3CDTF">2010-10-21T10:52:12Z</dcterms:created>
  <dcterms:modified xsi:type="dcterms:W3CDTF">2012-02-28T12:36:51Z</dcterms:modified>
</cp:coreProperties>
</file>